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kentrammen/Downloads/"/>
    </mc:Choice>
  </mc:AlternateContent>
  <xr:revisionPtr revIDLastSave="0" documentId="13_ncr:1_{C5B9D9A5-566B-D44B-8798-424BE9EF8982}" xr6:coauthVersionLast="45" xr6:coauthVersionMax="45" xr10:uidLastSave="{00000000-0000-0000-0000-000000000000}"/>
  <bookViews>
    <workbookView xWindow="0" yWindow="460" windowWidth="33600" windowHeight="19320" xr2:uid="{00000000-000D-0000-FFFF-FFFF00000000}"/>
  </bookViews>
  <sheets>
    <sheet name="Ark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15" i="1" l="1"/>
  <c r="A2515" i="1"/>
  <c r="B2514" i="1"/>
  <c r="A2514" i="1"/>
  <c r="B2513" i="1"/>
  <c r="A2513" i="1"/>
  <c r="B2512" i="1"/>
  <c r="A2512" i="1"/>
  <c r="B2511" i="1"/>
  <c r="A2511" i="1"/>
  <c r="B2510" i="1"/>
  <c r="A2510" i="1"/>
  <c r="B2509" i="1"/>
  <c r="A2509" i="1"/>
  <c r="B2508" i="1"/>
  <c r="A2508" i="1"/>
  <c r="B2507" i="1"/>
  <c r="A2507" i="1"/>
  <c r="B2506" i="1"/>
  <c r="A2506" i="1"/>
  <c r="B2505" i="1"/>
  <c r="A2505" i="1"/>
  <c r="B2504" i="1"/>
  <c r="A2504" i="1"/>
  <c r="B2503" i="1"/>
  <c r="A2503" i="1"/>
  <c r="B2502" i="1"/>
  <c r="A2502" i="1"/>
  <c r="B2501" i="1"/>
  <c r="A2501" i="1"/>
  <c r="B2500" i="1"/>
  <c r="A2500" i="1"/>
  <c r="B2499" i="1"/>
  <c r="A2499" i="1"/>
  <c r="B2498" i="1"/>
  <c r="A2498" i="1"/>
  <c r="B2497" i="1"/>
  <c r="A2497" i="1"/>
  <c r="B2496" i="1"/>
  <c r="A2496" i="1"/>
  <c r="B2495" i="1"/>
  <c r="A2495" i="1"/>
  <c r="B2494" i="1"/>
  <c r="A2494" i="1"/>
  <c r="B2493" i="1"/>
  <c r="A2493" i="1"/>
  <c r="B2492" i="1"/>
  <c r="A2492" i="1"/>
  <c r="B2491" i="1"/>
  <c r="A2491" i="1"/>
  <c r="B2490" i="1"/>
  <c r="A2490" i="1"/>
  <c r="B2489" i="1"/>
  <c r="A2489" i="1"/>
  <c r="B2488" i="1"/>
  <c r="A2488" i="1"/>
  <c r="B2487" i="1"/>
  <c r="A2487" i="1"/>
  <c r="B2486" i="1"/>
  <c r="A2486" i="1"/>
  <c r="B2485" i="1"/>
  <c r="A2485" i="1"/>
  <c r="B2484" i="1"/>
  <c r="A2484" i="1"/>
  <c r="B2483" i="1"/>
  <c r="A2483" i="1"/>
  <c r="B2482" i="1"/>
  <c r="A2482" i="1"/>
  <c r="B2481" i="1"/>
  <c r="A2481" i="1"/>
  <c r="B2480" i="1"/>
  <c r="A2480" i="1"/>
  <c r="B2479" i="1"/>
  <c r="A2479" i="1"/>
  <c r="B2478" i="1"/>
  <c r="A2478" i="1"/>
  <c r="B2477" i="1"/>
  <c r="A2477" i="1"/>
  <c r="B2476" i="1"/>
  <c r="A2476" i="1"/>
  <c r="B2475" i="1"/>
  <c r="A2475" i="1"/>
  <c r="B2474" i="1"/>
  <c r="A2474" i="1"/>
  <c r="B2473" i="1"/>
  <c r="A2473" i="1"/>
  <c r="B2472" i="1"/>
  <c r="A2472" i="1"/>
  <c r="B2471" i="1"/>
  <c r="A2471" i="1"/>
  <c r="B2470" i="1"/>
  <c r="A2470" i="1"/>
  <c r="B2469" i="1"/>
  <c r="A2469" i="1"/>
  <c r="B2468" i="1"/>
  <c r="A2468" i="1"/>
  <c r="B2467" i="1"/>
  <c r="A2467" i="1"/>
  <c r="B2466" i="1"/>
  <c r="A2466" i="1"/>
  <c r="B2465" i="1"/>
  <c r="A2465" i="1"/>
  <c r="B2464" i="1"/>
  <c r="A2464" i="1"/>
  <c r="B2463" i="1"/>
  <c r="A2463" i="1"/>
  <c r="B2462" i="1"/>
  <c r="A2462" i="1"/>
  <c r="B2461" i="1"/>
  <c r="A2461" i="1"/>
  <c r="B2460" i="1"/>
  <c r="A2460" i="1"/>
  <c r="B2459" i="1"/>
  <c r="A2459" i="1"/>
  <c r="B2458" i="1"/>
  <c r="A2458" i="1"/>
  <c r="B2457" i="1"/>
  <c r="A2457" i="1"/>
  <c r="B2456" i="1"/>
  <c r="A2456" i="1"/>
  <c r="B2455" i="1"/>
  <c r="A2455" i="1"/>
  <c r="B2454" i="1"/>
  <c r="A2454" i="1"/>
  <c r="B2453" i="1"/>
  <c r="A2453" i="1"/>
  <c r="B2452" i="1"/>
  <c r="A2452" i="1"/>
  <c r="B2451" i="1"/>
  <c r="A2451" i="1"/>
  <c r="B2450" i="1"/>
  <c r="A2450" i="1"/>
  <c r="B2449" i="1"/>
  <c r="A2449" i="1"/>
  <c r="B2448" i="1"/>
  <c r="A2448" i="1"/>
  <c r="B2447" i="1"/>
  <c r="A2447" i="1"/>
  <c r="B2446" i="1"/>
  <c r="A2446" i="1"/>
  <c r="B2445" i="1"/>
  <c r="A2445" i="1"/>
  <c r="B2444" i="1"/>
  <c r="A2444" i="1"/>
  <c r="B2443" i="1"/>
  <c r="A2443" i="1"/>
  <c r="B2442" i="1"/>
  <c r="A2442" i="1"/>
  <c r="B2441" i="1"/>
  <c r="A2441" i="1"/>
  <c r="B2440" i="1"/>
  <c r="A2440" i="1"/>
  <c r="B2439" i="1"/>
  <c r="A2439" i="1"/>
  <c r="B2438" i="1"/>
  <c r="A2438" i="1"/>
  <c r="B2437" i="1"/>
  <c r="A2437" i="1"/>
  <c r="B2436" i="1"/>
  <c r="A2436" i="1"/>
  <c r="B2435" i="1"/>
  <c r="A2435" i="1"/>
  <c r="B2434" i="1"/>
  <c r="A2434" i="1"/>
  <c r="B2433" i="1"/>
  <c r="A2433" i="1"/>
  <c r="B2432" i="1"/>
  <c r="A2432" i="1"/>
  <c r="B2431" i="1"/>
  <c r="A2431" i="1"/>
  <c r="B2430" i="1"/>
  <c r="A2430" i="1"/>
  <c r="B2429" i="1"/>
  <c r="A2429" i="1"/>
  <c r="B2428" i="1"/>
  <c r="A2428" i="1"/>
  <c r="B2427" i="1"/>
  <c r="A2427" i="1"/>
  <c r="B2426" i="1"/>
  <c r="A2426" i="1"/>
  <c r="B2425" i="1"/>
  <c r="A2425" i="1"/>
  <c r="B2424" i="1"/>
  <c r="A2424" i="1"/>
  <c r="B2423" i="1"/>
  <c r="A2423" i="1"/>
  <c r="B2422" i="1"/>
  <c r="A2422" i="1"/>
  <c r="B2421" i="1"/>
  <c r="A2421" i="1"/>
  <c r="B2420" i="1"/>
  <c r="A2420" i="1"/>
  <c r="B2419" i="1"/>
  <c r="A2419" i="1"/>
  <c r="B2418" i="1"/>
  <c r="A2418" i="1"/>
  <c r="B2417" i="1"/>
  <c r="A2417" i="1"/>
  <c r="B2416" i="1"/>
  <c r="A2416" i="1"/>
  <c r="B2415" i="1"/>
  <c r="A2415" i="1"/>
  <c r="B2414" i="1"/>
  <c r="A2414" i="1"/>
  <c r="B2413" i="1"/>
  <c r="A2413" i="1"/>
  <c r="B2412" i="1"/>
  <c r="A2412" i="1"/>
  <c r="B2411" i="1"/>
  <c r="A2411" i="1"/>
  <c r="B2410" i="1"/>
  <c r="A2410" i="1"/>
  <c r="B2409" i="1"/>
  <c r="A2409" i="1"/>
  <c r="B2408" i="1"/>
  <c r="A2408" i="1"/>
  <c r="B2407" i="1"/>
  <c r="A2407" i="1"/>
  <c r="B2406" i="1"/>
  <c r="A2406" i="1"/>
  <c r="B2405" i="1"/>
  <c r="A2405" i="1"/>
  <c r="B2404" i="1"/>
  <c r="A2404" i="1"/>
  <c r="B2403" i="1"/>
  <c r="A2403" i="1"/>
  <c r="B2402" i="1"/>
  <c r="A2402" i="1"/>
  <c r="B2401" i="1"/>
  <c r="A2401" i="1"/>
  <c r="B2400" i="1"/>
  <c r="A2400" i="1"/>
  <c r="B2399" i="1"/>
  <c r="A2399" i="1"/>
  <c r="B2398" i="1"/>
  <c r="A2398" i="1"/>
  <c r="B2397" i="1"/>
  <c r="A2397" i="1"/>
  <c r="B2396" i="1"/>
  <c r="A2396" i="1"/>
  <c r="B2395" i="1"/>
  <c r="A2395" i="1"/>
  <c r="B2394" i="1"/>
  <c r="A2394" i="1"/>
  <c r="B2393" i="1"/>
  <c r="A2393" i="1"/>
  <c r="B2392" i="1"/>
  <c r="A2392" i="1"/>
  <c r="B2391" i="1"/>
  <c r="A2391" i="1"/>
  <c r="B2390" i="1"/>
  <c r="A2390" i="1"/>
  <c r="B2389" i="1"/>
  <c r="A2389" i="1"/>
  <c r="B2388" i="1"/>
  <c r="A2388" i="1"/>
  <c r="B2387" i="1"/>
  <c r="A2387" i="1"/>
  <c r="B2386" i="1"/>
  <c r="A2386" i="1"/>
  <c r="B2385" i="1"/>
  <c r="A2385" i="1"/>
  <c r="B2384" i="1"/>
  <c r="A2384" i="1"/>
  <c r="B2383" i="1"/>
  <c r="A2383" i="1"/>
  <c r="B2382" i="1"/>
  <c r="A2382" i="1"/>
  <c r="B2381" i="1"/>
  <c r="A2381" i="1"/>
  <c r="B2380" i="1"/>
  <c r="A2380" i="1"/>
  <c r="B2379" i="1"/>
  <c r="A2379" i="1"/>
  <c r="B2378" i="1"/>
  <c r="A2378" i="1"/>
  <c r="B2377" i="1"/>
  <c r="A2377" i="1"/>
  <c r="B2376" i="1"/>
  <c r="A2376" i="1"/>
  <c r="B2375" i="1"/>
  <c r="A2375" i="1"/>
  <c r="B2374" i="1"/>
  <c r="A2374" i="1"/>
  <c r="B2373" i="1"/>
  <c r="A2373" i="1"/>
  <c r="B2372" i="1"/>
  <c r="A2372" i="1"/>
  <c r="B2371" i="1"/>
  <c r="A2371" i="1"/>
  <c r="B2370" i="1"/>
  <c r="A2370" i="1"/>
  <c r="B2369" i="1"/>
  <c r="A2369" i="1"/>
  <c r="B2368" i="1"/>
  <c r="A2368" i="1"/>
  <c r="B2367" i="1"/>
  <c r="A2367" i="1"/>
  <c r="B2366" i="1"/>
  <c r="A2366" i="1"/>
  <c r="B2365" i="1"/>
  <c r="A2365" i="1"/>
  <c r="B2364" i="1"/>
  <c r="A2364" i="1"/>
  <c r="B2363" i="1"/>
  <c r="A2363" i="1"/>
  <c r="B2362" i="1"/>
  <c r="A2362" i="1"/>
  <c r="B2361" i="1"/>
  <c r="A2361" i="1"/>
  <c r="B2360" i="1"/>
  <c r="A2360" i="1"/>
  <c r="B2359" i="1"/>
  <c r="A2359" i="1"/>
  <c r="B2358" i="1"/>
  <c r="A2358" i="1"/>
  <c r="B2357" i="1"/>
  <c r="A2357" i="1"/>
  <c r="B2356" i="1"/>
  <c r="A2356" i="1"/>
  <c r="B2355" i="1"/>
  <c r="A2355" i="1"/>
  <c r="B2354" i="1"/>
  <c r="A2354" i="1"/>
  <c r="B2353" i="1"/>
  <c r="A2353" i="1"/>
  <c r="B2352" i="1"/>
  <c r="A2352" i="1"/>
  <c r="B2351" i="1"/>
  <c r="A2351" i="1"/>
  <c r="B2350" i="1"/>
  <c r="A2350" i="1"/>
  <c r="B2349" i="1"/>
  <c r="A2349" i="1"/>
  <c r="B2348" i="1"/>
  <c r="A2348" i="1"/>
  <c r="B2347" i="1"/>
  <c r="A2347" i="1"/>
  <c r="B2346" i="1"/>
  <c r="A2346" i="1"/>
  <c r="B2345" i="1"/>
  <c r="A2345" i="1"/>
  <c r="B2344" i="1"/>
  <c r="A2344" i="1"/>
  <c r="B2343" i="1"/>
  <c r="A2343" i="1"/>
  <c r="B2342" i="1"/>
  <c r="A2342" i="1"/>
  <c r="B2341" i="1"/>
  <c r="A2341" i="1"/>
  <c r="B2340" i="1"/>
  <c r="A2340" i="1"/>
  <c r="B2339" i="1"/>
  <c r="A2339" i="1"/>
  <c r="B2338" i="1"/>
  <c r="A2338" i="1"/>
  <c r="B2337" i="1"/>
  <c r="A2337" i="1"/>
  <c r="B2336" i="1"/>
  <c r="A2336" i="1"/>
  <c r="B2335" i="1"/>
  <c r="A2335" i="1"/>
  <c r="B2334" i="1"/>
  <c r="A2334" i="1"/>
  <c r="B2333" i="1"/>
  <c r="A2333" i="1"/>
  <c r="B2332" i="1"/>
  <c r="A2332" i="1"/>
  <c r="B2331" i="1"/>
  <c r="A2331" i="1"/>
  <c r="B2330" i="1"/>
  <c r="A2330" i="1"/>
  <c r="B2329" i="1"/>
  <c r="A2329" i="1"/>
  <c r="B2328" i="1"/>
  <c r="A2328" i="1"/>
  <c r="B2327" i="1"/>
  <c r="A2327" i="1"/>
  <c r="B2326" i="1"/>
  <c r="A2326" i="1"/>
  <c r="B2325" i="1"/>
  <c r="A2325" i="1"/>
  <c r="B2324" i="1"/>
  <c r="A2324" i="1"/>
  <c r="B2323" i="1"/>
  <c r="A2323" i="1"/>
  <c r="B2322" i="1"/>
  <c r="A2322" i="1"/>
  <c r="B2321" i="1"/>
  <c r="A2321" i="1"/>
  <c r="B2320" i="1"/>
  <c r="A2320" i="1"/>
  <c r="B2319" i="1"/>
  <c r="A2319" i="1"/>
  <c r="B2318" i="1"/>
  <c r="A2318" i="1"/>
  <c r="B2317" i="1"/>
  <c r="A2317" i="1"/>
  <c r="B2316" i="1"/>
  <c r="A2316" i="1"/>
  <c r="B2315" i="1"/>
  <c r="A2315" i="1"/>
  <c r="B2314" i="1"/>
  <c r="A2314" i="1"/>
  <c r="B2313" i="1"/>
  <c r="A2313" i="1"/>
  <c r="B2312" i="1"/>
  <c r="A2312" i="1"/>
  <c r="B2311" i="1"/>
  <c r="A2311" i="1"/>
  <c r="B2310" i="1"/>
  <c r="A2310" i="1"/>
  <c r="B2309" i="1"/>
  <c r="A2309" i="1"/>
  <c r="B2308" i="1"/>
  <c r="A2308" i="1"/>
  <c r="B2307" i="1"/>
  <c r="A2307" i="1"/>
  <c r="B2306" i="1"/>
  <c r="A2306" i="1"/>
  <c r="B2305" i="1"/>
  <c r="A2305" i="1"/>
  <c r="B2304" i="1"/>
  <c r="A2304" i="1"/>
  <c r="B2303" i="1"/>
  <c r="A2303" i="1"/>
  <c r="B2302" i="1"/>
  <c r="A2302" i="1"/>
  <c r="B2301" i="1"/>
  <c r="A2301" i="1"/>
  <c r="B2300" i="1"/>
  <c r="A2300" i="1"/>
  <c r="B2299" i="1"/>
  <c r="A2299" i="1"/>
  <c r="B2298" i="1"/>
  <c r="A2298" i="1"/>
  <c r="B2297" i="1"/>
  <c r="A2297" i="1"/>
  <c r="B2296" i="1"/>
  <c r="A2296" i="1"/>
  <c r="B2295" i="1"/>
  <c r="A2295" i="1"/>
  <c r="B2294" i="1"/>
  <c r="A2294" i="1"/>
  <c r="B2293" i="1"/>
  <c r="A2293" i="1"/>
  <c r="B2292" i="1"/>
  <c r="A2292" i="1"/>
  <c r="B2291" i="1"/>
  <c r="A2291" i="1"/>
  <c r="B2290" i="1"/>
  <c r="A2290" i="1"/>
  <c r="B2289" i="1"/>
  <c r="A2289" i="1"/>
  <c r="B2288" i="1"/>
  <c r="A2288" i="1"/>
  <c r="B2287" i="1"/>
  <c r="A2287" i="1"/>
  <c r="B2286" i="1"/>
  <c r="A2286" i="1"/>
  <c r="B2285" i="1"/>
  <c r="A2285" i="1"/>
  <c r="B2284" i="1"/>
  <c r="A2284" i="1"/>
  <c r="B2283" i="1"/>
  <c r="A2283" i="1"/>
  <c r="B2282" i="1"/>
  <c r="A2282" i="1"/>
  <c r="B2281" i="1"/>
  <c r="A2281" i="1"/>
  <c r="B2280" i="1"/>
  <c r="A2280" i="1"/>
  <c r="B2279" i="1"/>
  <c r="A2279" i="1"/>
  <c r="B2278" i="1"/>
  <c r="A2278" i="1"/>
  <c r="B2277" i="1"/>
  <c r="A2277" i="1"/>
  <c r="B2276" i="1"/>
  <c r="A2276" i="1"/>
  <c r="B2275" i="1"/>
  <c r="A2275" i="1"/>
  <c r="B2274" i="1"/>
  <c r="A2274" i="1"/>
  <c r="B2273" i="1"/>
  <c r="A2273" i="1"/>
  <c r="B2272" i="1"/>
  <c r="A2272" i="1"/>
  <c r="B2271" i="1"/>
  <c r="A2271" i="1"/>
  <c r="B2270" i="1"/>
  <c r="A2270" i="1"/>
  <c r="B2269" i="1"/>
  <c r="A2269" i="1"/>
  <c r="B2268" i="1"/>
  <c r="A2268" i="1"/>
  <c r="B2267" i="1"/>
  <c r="A2267" i="1"/>
  <c r="B2266" i="1"/>
  <c r="A2266" i="1"/>
  <c r="B2265" i="1"/>
  <c r="A2265" i="1"/>
  <c r="B2264" i="1"/>
  <c r="A2264" i="1"/>
  <c r="B2263" i="1"/>
  <c r="A2263" i="1"/>
  <c r="B2262" i="1"/>
  <c r="A2262" i="1"/>
  <c r="B2261" i="1"/>
  <c r="A2261" i="1"/>
  <c r="B2260" i="1"/>
  <c r="A2260" i="1"/>
  <c r="B2259" i="1"/>
  <c r="A2259" i="1"/>
  <c r="B2258" i="1"/>
  <c r="A2258" i="1"/>
  <c r="B2257" i="1"/>
  <c r="A2257" i="1"/>
  <c r="B2256" i="1"/>
  <c r="A2256" i="1"/>
  <c r="B2255" i="1"/>
  <c r="A2255" i="1"/>
  <c r="B2254" i="1"/>
  <c r="A2254" i="1"/>
  <c r="B2253" i="1"/>
  <c r="A2253" i="1"/>
  <c r="B2252" i="1"/>
  <c r="A2252" i="1"/>
  <c r="B2251" i="1"/>
  <c r="A2251" i="1"/>
  <c r="B2250" i="1"/>
  <c r="A2250" i="1"/>
  <c r="B2249" i="1"/>
  <c r="A2249" i="1"/>
  <c r="B2248" i="1"/>
  <c r="A2248" i="1"/>
  <c r="B2247" i="1"/>
  <c r="A2247" i="1"/>
  <c r="B2246" i="1"/>
  <c r="A2246" i="1"/>
  <c r="B2245" i="1"/>
  <c r="A2245" i="1"/>
  <c r="B2244" i="1"/>
  <c r="A2244" i="1"/>
  <c r="B2243" i="1"/>
  <c r="A2243" i="1"/>
  <c r="B2242" i="1"/>
  <c r="A2242" i="1"/>
  <c r="B2241" i="1"/>
  <c r="A2241" i="1"/>
  <c r="B2240" i="1"/>
  <c r="A2240" i="1"/>
  <c r="B2239" i="1"/>
  <c r="A2239" i="1"/>
  <c r="B2238" i="1"/>
  <c r="A2238" i="1"/>
  <c r="B2237" i="1"/>
  <c r="A2237" i="1"/>
  <c r="B2236" i="1"/>
  <c r="A2236" i="1"/>
  <c r="B2235" i="1"/>
  <c r="A2235" i="1"/>
  <c r="B2234" i="1"/>
  <c r="A2234" i="1"/>
  <c r="B2233" i="1"/>
  <c r="A2233" i="1"/>
  <c r="B2232" i="1"/>
  <c r="A2232" i="1"/>
  <c r="B2231" i="1"/>
  <c r="A2231" i="1"/>
  <c r="B2230" i="1"/>
  <c r="A2230" i="1"/>
  <c r="B2229" i="1"/>
  <c r="A2229" i="1"/>
  <c r="B2228" i="1"/>
  <c r="A2228" i="1"/>
  <c r="B2227" i="1"/>
  <c r="A2227" i="1"/>
  <c r="B2226" i="1"/>
  <c r="A2226" i="1"/>
  <c r="B2225" i="1"/>
  <c r="A2225" i="1"/>
  <c r="B2224" i="1"/>
  <c r="A2224" i="1"/>
  <c r="B2223" i="1"/>
  <c r="A2223" i="1"/>
  <c r="B2222" i="1"/>
  <c r="A2222" i="1"/>
  <c r="B2221" i="1"/>
  <c r="A2221" i="1"/>
  <c r="B2220" i="1"/>
  <c r="A2220" i="1"/>
  <c r="B2219" i="1"/>
  <c r="A2219" i="1"/>
  <c r="B2218" i="1"/>
  <c r="A2218" i="1"/>
  <c r="B2217" i="1"/>
  <c r="A2217" i="1"/>
  <c r="B2216" i="1"/>
  <c r="A2216" i="1"/>
  <c r="B2215" i="1"/>
  <c r="A2215" i="1"/>
  <c r="B2214" i="1"/>
  <c r="A2214" i="1"/>
  <c r="B2213" i="1"/>
  <c r="A2213" i="1"/>
  <c r="B2212" i="1"/>
  <c r="A2212" i="1"/>
  <c r="B2211" i="1"/>
  <c r="A2211" i="1"/>
  <c r="B2210" i="1"/>
  <c r="A2210" i="1"/>
  <c r="B2209" i="1"/>
  <c r="A2209" i="1"/>
  <c r="B2208" i="1"/>
  <c r="A2208" i="1"/>
  <c r="B2207" i="1"/>
  <c r="A2207" i="1"/>
  <c r="B2206" i="1"/>
  <c r="A2206" i="1"/>
  <c r="B2205" i="1"/>
  <c r="A2205" i="1"/>
  <c r="B2204" i="1"/>
  <c r="A2204" i="1"/>
  <c r="B2203" i="1"/>
  <c r="A2203" i="1"/>
  <c r="B2202" i="1"/>
  <c r="A2202" i="1"/>
  <c r="B2201" i="1"/>
  <c r="A2201" i="1"/>
  <c r="B2200" i="1"/>
  <c r="A2200" i="1"/>
  <c r="B2199" i="1"/>
  <c r="A2199" i="1"/>
  <c r="B2198" i="1"/>
  <c r="A2198" i="1"/>
  <c r="B2197" i="1"/>
  <c r="A2197" i="1"/>
  <c r="B2196" i="1"/>
  <c r="A2196" i="1"/>
  <c r="B2195" i="1"/>
  <c r="A2195" i="1"/>
  <c r="B2194" i="1"/>
  <c r="A2194" i="1"/>
  <c r="B2193" i="1"/>
  <c r="A2193" i="1"/>
  <c r="B2192" i="1"/>
  <c r="A2192" i="1"/>
  <c r="B2191" i="1"/>
  <c r="A2191" i="1"/>
  <c r="B2190" i="1"/>
  <c r="A2190" i="1"/>
  <c r="B2189" i="1"/>
  <c r="A2189" i="1"/>
  <c r="B2188" i="1"/>
  <c r="A2188" i="1"/>
  <c r="B2187" i="1"/>
  <c r="A2187" i="1"/>
  <c r="B2186" i="1"/>
  <c r="A2186" i="1"/>
  <c r="B2185" i="1"/>
  <c r="A2185" i="1"/>
  <c r="B2184" i="1"/>
  <c r="A2184" i="1"/>
  <c r="B2183" i="1"/>
  <c r="A2183" i="1"/>
  <c r="B2182" i="1"/>
  <c r="A2182" i="1"/>
  <c r="B2181" i="1"/>
  <c r="A2181" i="1"/>
  <c r="B2180" i="1"/>
  <c r="A2180" i="1"/>
  <c r="B2179" i="1"/>
  <c r="A2179" i="1"/>
  <c r="B2178" i="1"/>
  <c r="A2178" i="1"/>
  <c r="B2177" i="1"/>
  <c r="A2177" i="1"/>
  <c r="B2176" i="1"/>
  <c r="A2176" i="1"/>
  <c r="B2175" i="1"/>
  <c r="A2175" i="1"/>
  <c r="B2174" i="1"/>
  <c r="A2174" i="1"/>
  <c r="B2173" i="1"/>
  <c r="A2173" i="1"/>
  <c r="B2172" i="1"/>
  <c r="A2172" i="1"/>
  <c r="B2171" i="1"/>
  <c r="A2171" i="1"/>
  <c r="B2170" i="1"/>
  <c r="A2170" i="1"/>
  <c r="B2169" i="1"/>
  <c r="A2169" i="1"/>
  <c r="B2168" i="1"/>
  <c r="A2168" i="1"/>
  <c r="B2167" i="1"/>
  <c r="A2167" i="1"/>
  <c r="B2166" i="1"/>
  <c r="A2166" i="1"/>
  <c r="B2165" i="1"/>
  <c r="C2166" i="1" s="1"/>
  <c r="A2165" i="1"/>
  <c r="B2164" i="1"/>
  <c r="A2164" i="1"/>
  <c r="B2163" i="1"/>
  <c r="A2163" i="1"/>
  <c r="B2162" i="1"/>
  <c r="A2162" i="1"/>
  <c r="B2161" i="1"/>
  <c r="A2161" i="1"/>
  <c r="B2160" i="1"/>
  <c r="A2160" i="1"/>
  <c r="B2159" i="1"/>
  <c r="A2159" i="1"/>
  <c r="B2158" i="1"/>
  <c r="A2158" i="1"/>
  <c r="B2157" i="1"/>
  <c r="C2158" i="1" s="1"/>
  <c r="A2157" i="1"/>
  <c r="B2156" i="1"/>
  <c r="A2156" i="1"/>
  <c r="B2155" i="1"/>
  <c r="A2155" i="1"/>
  <c r="B2154" i="1"/>
  <c r="A2154" i="1"/>
  <c r="B2153" i="1"/>
  <c r="A2153" i="1"/>
  <c r="B2152" i="1"/>
  <c r="A2152" i="1"/>
  <c r="B2151" i="1"/>
  <c r="A2151" i="1"/>
  <c r="B2150" i="1"/>
  <c r="A2150" i="1"/>
  <c r="B2149" i="1"/>
  <c r="A2149" i="1"/>
  <c r="B2148" i="1"/>
  <c r="A2148" i="1"/>
  <c r="B2147" i="1"/>
  <c r="A2147" i="1"/>
  <c r="B2146" i="1"/>
  <c r="A2146" i="1"/>
  <c r="B2145" i="1"/>
  <c r="A2145" i="1"/>
  <c r="B2144" i="1"/>
  <c r="A2144" i="1"/>
  <c r="B2143" i="1"/>
  <c r="A2143" i="1"/>
  <c r="B2142" i="1"/>
  <c r="A2142" i="1"/>
  <c r="B2141" i="1"/>
  <c r="A2141" i="1"/>
  <c r="B2140" i="1"/>
  <c r="A2140" i="1"/>
  <c r="B2139" i="1"/>
  <c r="A2139" i="1"/>
  <c r="B2138" i="1"/>
  <c r="A2138" i="1"/>
  <c r="B2137" i="1"/>
  <c r="A2137" i="1"/>
  <c r="B2136" i="1"/>
  <c r="A2136" i="1"/>
  <c r="B2135" i="1"/>
  <c r="A2135" i="1"/>
  <c r="B2134" i="1"/>
  <c r="A2134" i="1"/>
  <c r="B2133" i="1"/>
  <c r="C2134" i="1" s="1"/>
  <c r="A2133" i="1"/>
  <c r="B2132" i="1"/>
  <c r="A2132" i="1"/>
  <c r="B2131" i="1"/>
  <c r="A2131" i="1"/>
  <c r="B2130" i="1"/>
  <c r="A2130" i="1"/>
  <c r="B2129" i="1"/>
  <c r="A2129" i="1"/>
  <c r="B2128" i="1"/>
  <c r="A2128" i="1"/>
  <c r="B2127" i="1"/>
  <c r="A2127" i="1"/>
  <c r="B2126" i="1"/>
  <c r="A2126" i="1"/>
  <c r="B2125" i="1"/>
  <c r="A2125" i="1"/>
  <c r="B2124" i="1"/>
  <c r="A2124" i="1"/>
  <c r="B2123" i="1"/>
  <c r="A2123" i="1"/>
  <c r="B2122" i="1"/>
  <c r="A2122" i="1"/>
  <c r="B2121" i="1"/>
  <c r="A2121" i="1"/>
  <c r="B2120" i="1"/>
  <c r="A2120" i="1"/>
  <c r="B2119" i="1"/>
  <c r="A2119" i="1"/>
  <c r="B2118" i="1"/>
  <c r="A2118" i="1"/>
  <c r="B2117" i="1"/>
  <c r="A2117" i="1"/>
  <c r="B2116" i="1"/>
  <c r="A2116" i="1"/>
  <c r="B2115" i="1"/>
  <c r="A2115" i="1"/>
  <c r="B2114" i="1"/>
  <c r="A2114" i="1"/>
  <c r="B2113" i="1"/>
  <c r="A2113" i="1"/>
  <c r="B2112" i="1"/>
  <c r="A2112" i="1"/>
  <c r="B2111" i="1"/>
  <c r="A2111" i="1"/>
  <c r="B2110" i="1"/>
  <c r="A2110" i="1"/>
  <c r="B2109" i="1"/>
  <c r="A2109" i="1"/>
  <c r="B2108" i="1"/>
  <c r="A2108" i="1"/>
  <c r="B2107" i="1"/>
  <c r="A2107" i="1"/>
  <c r="B2106" i="1"/>
  <c r="A2106" i="1"/>
  <c r="B2105" i="1"/>
  <c r="A2105" i="1"/>
  <c r="B2104" i="1"/>
  <c r="A2104" i="1"/>
  <c r="B2103" i="1"/>
  <c r="A2103" i="1"/>
  <c r="B2102" i="1"/>
  <c r="A2102" i="1"/>
  <c r="B2101" i="1"/>
  <c r="A2101" i="1"/>
  <c r="B2100" i="1"/>
  <c r="A2100" i="1"/>
  <c r="B2099" i="1"/>
  <c r="A2099" i="1"/>
  <c r="B2098" i="1"/>
  <c r="A2098" i="1"/>
  <c r="B2097" i="1"/>
  <c r="A2097" i="1"/>
  <c r="B2096" i="1"/>
  <c r="A2096" i="1"/>
  <c r="B2095" i="1"/>
  <c r="A2095" i="1"/>
  <c r="B2094" i="1"/>
  <c r="A2094" i="1"/>
  <c r="B2093" i="1"/>
  <c r="C2094" i="1" s="1"/>
  <c r="A2093" i="1"/>
  <c r="B2092" i="1"/>
  <c r="A2092" i="1"/>
  <c r="B2091" i="1"/>
  <c r="A2091" i="1"/>
  <c r="B2090" i="1"/>
  <c r="A2090" i="1"/>
  <c r="B2089" i="1"/>
  <c r="A2089" i="1"/>
  <c r="B2088" i="1"/>
  <c r="A2088" i="1"/>
  <c r="B2087" i="1"/>
  <c r="A2087" i="1"/>
  <c r="B2086" i="1"/>
  <c r="A2086" i="1"/>
  <c r="B2085" i="1"/>
  <c r="C2086" i="1" s="1"/>
  <c r="A2085" i="1"/>
  <c r="B2084" i="1"/>
  <c r="A2084" i="1"/>
  <c r="B2083" i="1"/>
  <c r="A2083" i="1"/>
  <c r="B2082" i="1"/>
  <c r="A2082" i="1"/>
  <c r="B2081" i="1"/>
  <c r="A2081" i="1"/>
  <c r="B2080" i="1"/>
  <c r="A2080" i="1"/>
  <c r="B2079" i="1"/>
  <c r="A2079" i="1"/>
  <c r="B2078" i="1"/>
  <c r="A2078" i="1"/>
  <c r="B2077" i="1"/>
  <c r="A2077" i="1"/>
  <c r="B2076" i="1"/>
  <c r="A2076" i="1"/>
  <c r="B2075" i="1"/>
  <c r="A2075" i="1"/>
  <c r="B2074" i="1"/>
  <c r="A2074" i="1"/>
  <c r="B2073" i="1"/>
  <c r="C2074" i="1" s="1"/>
  <c r="A2073" i="1"/>
  <c r="B2072" i="1"/>
  <c r="A2072" i="1"/>
  <c r="B2071" i="1"/>
  <c r="A2071" i="1"/>
  <c r="B2070" i="1"/>
  <c r="A2070" i="1"/>
  <c r="B2069" i="1"/>
  <c r="A2069" i="1"/>
  <c r="B2068" i="1"/>
  <c r="A2068" i="1"/>
  <c r="B2067" i="1"/>
  <c r="A2067" i="1"/>
  <c r="B2066" i="1"/>
  <c r="A2066" i="1"/>
  <c r="B2065" i="1"/>
  <c r="A2065" i="1"/>
  <c r="B2064" i="1"/>
  <c r="A2064" i="1"/>
  <c r="B2063" i="1"/>
  <c r="A2063" i="1"/>
  <c r="B2062" i="1"/>
  <c r="A2062" i="1"/>
  <c r="B2061" i="1"/>
  <c r="A2061" i="1"/>
  <c r="B2060" i="1"/>
  <c r="A2060" i="1"/>
  <c r="B2059" i="1"/>
  <c r="A2059" i="1"/>
  <c r="B2058" i="1"/>
  <c r="A2058" i="1"/>
  <c r="B2057" i="1"/>
  <c r="C2058" i="1" s="1"/>
  <c r="A2057" i="1"/>
  <c r="B2056" i="1"/>
  <c r="A2056" i="1"/>
  <c r="B2055" i="1"/>
  <c r="A2055" i="1"/>
  <c r="B2054" i="1"/>
  <c r="A2054" i="1"/>
  <c r="B2053" i="1"/>
  <c r="A2053" i="1"/>
  <c r="B2052" i="1"/>
  <c r="A2052" i="1"/>
  <c r="B2051" i="1"/>
  <c r="A2051" i="1"/>
  <c r="B2050" i="1"/>
  <c r="A2050" i="1"/>
  <c r="B2049" i="1"/>
  <c r="A2049" i="1"/>
  <c r="B2048" i="1"/>
  <c r="A2048" i="1"/>
  <c r="B2047" i="1"/>
  <c r="A2047" i="1"/>
  <c r="B2046" i="1"/>
  <c r="A2046" i="1"/>
  <c r="B2045" i="1"/>
  <c r="A2045" i="1"/>
  <c r="B2044" i="1"/>
  <c r="A2044" i="1"/>
  <c r="B2043" i="1"/>
  <c r="A2043" i="1"/>
  <c r="B2042" i="1"/>
  <c r="A2042" i="1"/>
  <c r="B2041" i="1"/>
  <c r="A2041" i="1"/>
  <c r="B2040" i="1"/>
  <c r="A2040" i="1"/>
  <c r="B2039" i="1"/>
  <c r="A2039" i="1"/>
  <c r="B2038" i="1"/>
  <c r="A2038" i="1"/>
  <c r="B2037" i="1"/>
  <c r="A2037" i="1"/>
  <c r="B2036" i="1"/>
  <c r="A2036" i="1"/>
  <c r="B2035" i="1"/>
  <c r="A2035" i="1"/>
  <c r="B2034" i="1"/>
  <c r="A2034" i="1"/>
  <c r="B2033" i="1"/>
  <c r="C2034" i="1" s="1"/>
  <c r="A2033" i="1"/>
  <c r="B2032" i="1"/>
  <c r="A2032" i="1"/>
  <c r="B2031" i="1"/>
  <c r="A2031" i="1"/>
  <c r="B2030" i="1"/>
  <c r="A2030" i="1"/>
  <c r="B2029" i="1"/>
  <c r="A2029" i="1"/>
  <c r="B2028" i="1"/>
  <c r="A2028" i="1"/>
  <c r="B2027" i="1"/>
  <c r="A2027" i="1"/>
  <c r="B2026" i="1"/>
  <c r="A2026" i="1"/>
  <c r="B2025" i="1"/>
  <c r="A2025" i="1"/>
  <c r="B2024" i="1"/>
  <c r="A2024" i="1"/>
  <c r="B2023" i="1"/>
  <c r="A2023" i="1"/>
  <c r="B2022" i="1"/>
  <c r="A2022" i="1"/>
  <c r="B2021" i="1"/>
  <c r="A2021" i="1"/>
  <c r="B2020" i="1"/>
  <c r="A2020" i="1"/>
  <c r="B2019" i="1"/>
  <c r="A2019" i="1"/>
  <c r="B2018" i="1"/>
  <c r="A2018" i="1"/>
  <c r="B2017" i="1"/>
  <c r="A2017" i="1"/>
  <c r="B2016" i="1"/>
  <c r="A2016" i="1"/>
  <c r="B2015" i="1"/>
  <c r="A2015" i="1"/>
  <c r="B2014" i="1"/>
  <c r="A2014" i="1"/>
  <c r="B2013" i="1"/>
  <c r="A2013" i="1"/>
  <c r="B2012" i="1"/>
  <c r="A2012" i="1"/>
  <c r="B2011" i="1"/>
  <c r="A2011" i="1"/>
  <c r="B2010" i="1"/>
  <c r="A2010" i="1"/>
  <c r="B2009" i="1"/>
  <c r="A2009" i="1"/>
  <c r="B2008" i="1"/>
  <c r="A2008" i="1"/>
  <c r="B2007" i="1"/>
  <c r="A2007" i="1"/>
  <c r="B2006" i="1"/>
  <c r="A2006" i="1"/>
  <c r="B2005" i="1"/>
  <c r="A2005" i="1"/>
  <c r="B2004" i="1"/>
  <c r="A2004" i="1"/>
  <c r="B2003" i="1"/>
  <c r="A2003" i="1"/>
  <c r="B2002" i="1"/>
  <c r="A2002" i="1"/>
  <c r="B2001" i="1"/>
  <c r="A2001" i="1"/>
  <c r="B2000" i="1"/>
  <c r="A2000" i="1"/>
  <c r="B1999" i="1"/>
  <c r="A1999" i="1"/>
  <c r="B1998" i="1"/>
  <c r="A1998" i="1"/>
  <c r="B1997" i="1"/>
  <c r="A1997" i="1"/>
  <c r="B1996" i="1"/>
  <c r="A1996" i="1"/>
  <c r="B1995" i="1"/>
  <c r="A1995" i="1"/>
  <c r="B1994" i="1"/>
  <c r="A1994" i="1"/>
  <c r="B1993" i="1"/>
  <c r="A1993" i="1"/>
  <c r="B1992" i="1"/>
  <c r="A1992" i="1"/>
  <c r="B1991" i="1"/>
  <c r="A1991" i="1"/>
  <c r="B1990" i="1"/>
  <c r="A1990" i="1"/>
  <c r="B1989" i="1"/>
  <c r="A1989" i="1"/>
  <c r="B1988" i="1"/>
  <c r="A1988" i="1"/>
  <c r="B1987" i="1"/>
  <c r="A1987" i="1"/>
  <c r="B1986" i="1"/>
  <c r="A1986" i="1"/>
  <c r="B1985" i="1"/>
  <c r="A1985" i="1"/>
  <c r="B1984" i="1"/>
  <c r="A1984" i="1"/>
  <c r="B1983" i="1"/>
  <c r="A1983" i="1"/>
  <c r="B1982" i="1"/>
  <c r="A1982" i="1"/>
  <c r="B1981" i="1"/>
  <c r="A1981" i="1"/>
  <c r="B1980" i="1"/>
  <c r="A1980" i="1"/>
  <c r="B1979" i="1"/>
  <c r="A1979" i="1"/>
  <c r="B1978" i="1"/>
  <c r="A1978" i="1"/>
  <c r="B1977" i="1"/>
  <c r="A1977" i="1"/>
  <c r="B1976" i="1"/>
  <c r="A1976" i="1"/>
  <c r="B1975" i="1"/>
  <c r="A1975" i="1"/>
  <c r="B1974" i="1"/>
  <c r="A1974" i="1"/>
  <c r="B1973" i="1"/>
  <c r="A1973" i="1"/>
  <c r="B1972" i="1"/>
  <c r="A1972" i="1"/>
  <c r="B1971" i="1"/>
  <c r="A1971" i="1"/>
  <c r="B1970" i="1"/>
  <c r="A1970" i="1"/>
  <c r="B1969" i="1"/>
  <c r="A1969" i="1"/>
  <c r="B1968" i="1"/>
  <c r="A1968" i="1"/>
  <c r="B1967" i="1"/>
  <c r="A1967" i="1"/>
  <c r="B1966" i="1"/>
  <c r="A1966" i="1"/>
  <c r="B1965" i="1"/>
  <c r="A1965" i="1"/>
  <c r="B1964" i="1"/>
  <c r="A1964" i="1"/>
  <c r="B1963" i="1"/>
  <c r="A1963" i="1"/>
  <c r="B1962" i="1"/>
  <c r="A1962" i="1"/>
  <c r="B1961" i="1"/>
  <c r="A1961" i="1"/>
  <c r="B1960" i="1"/>
  <c r="A1960" i="1"/>
  <c r="B1959" i="1"/>
  <c r="A1959" i="1"/>
  <c r="B1958" i="1"/>
  <c r="A1958" i="1"/>
  <c r="B1957" i="1"/>
  <c r="A1957" i="1"/>
  <c r="B1956" i="1"/>
  <c r="A1956" i="1"/>
  <c r="B1955" i="1"/>
  <c r="A1955" i="1"/>
  <c r="B1954" i="1"/>
  <c r="A1954" i="1"/>
  <c r="B1953" i="1"/>
  <c r="A1953" i="1"/>
  <c r="B1952" i="1"/>
  <c r="A1952" i="1"/>
  <c r="B1951" i="1"/>
  <c r="A1951" i="1"/>
  <c r="B1950" i="1"/>
  <c r="A1950" i="1"/>
  <c r="B1949" i="1"/>
  <c r="A1949" i="1"/>
  <c r="B1948" i="1"/>
  <c r="A1948" i="1"/>
  <c r="B1947" i="1"/>
  <c r="A1947" i="1"/>
  <c r="B1946" i="1"/>
  <c r="A1946" i="1"/>
  <c r="B1945" i="1"/>
  <c r="A1945" i="1"/>
  <c r="B1944" i="1"/>
  <c r="A1944" i="1"/>
  <c r="B1943" i="1"/>
  <c r="A1943" i="1"/>
  <c r="B1942" i="1"/>
  <c r="A1942" i="1"/>
  <c r="B1941" i="1"/>
  <c r="A1941" i="1"/>
  <c r="B1940" i="1"/>
  <c r="A1940" i="1"/>
  <c r="B1939" i="1"/>
  <c r="A1939" i="1"/>
  <c r="B1938" i="1"/>
  <c r="A1938" i="1"/>
  <c r="B1937" i="1"/>
  <c r="A1937" i="1"/>
  <c r="B1936" i="1"/>
  <c r="A1936" i="1"/>
  <c r="B1935" i="1"/>
  <c r="A1935" i="1"/>
  <c r="B1934" i="1"/>
  <c r="A1934" i="1"/>
  <c r="B1933" i="1"/>
  <c r="A1933" i="1"/>
  <c r="B1932" i="1"/>
  <c r="A1932" i="1"/>
  <c r="B1931" i="1"/>
  <c r="A1931" i="1"/>
  <c r="B1930" i="1"/>
  <c r="A1930" i="1"/>
  <c r="B1929" i="1"/>
  <c r="A1929" i="1"/>
  <c r="B1928" i="1"/>
  <c r="A1928" i="1"/>
  <c r="B1927" i="1"/>
  <c r="A1927" i="1"/>
  <c r="B1926" i="1"/>
  <c r="A1926" i="1"/>
  <c r="B1925" i="1"/>
  <c r="A1925" i="1"/>
  <c r="B1924" i="1"/>
  <c r="A1924" i="1"/>
  <c r="B1923" i="1"/>
  <c r="A1923" i="1"/>
  <c r="B1922" i="1"/>
  <c r="A1922" i="1"/>
  <c r="B1921" i="1"/>
  <c r="A1921" i="1"/>
  <c r="B1920" i="1"/>
  <c r="A1920" i="1"/>
  <c r="B1919" i="1"/>
  <c r="A1919" i="1"/>
  <c r="B1918" i="1"/>
  <c r="A1918" i="1"/>
  <c r="B1917" i="1"/>
  <c r="A1917" i="1"/>
  <c r="B1916" i="1"/>
  <c r="A1916" i="1"/>
  <c r="B1915" i="1"/>
  <c r="A1915" i="1"/>
  <c r="B1914" i="1"/>
  <c r="A1914" i="1"/>
  <c r="B1913" i="1"/>
  <c r="A1913" i="1"/>
  <c r="B1912" i="1"/>
  <c r="A1912" i="1"/>
  <c r="B1911" i="1"/>
  <c r="A1911" i="1"/>
  <c r="B1910" i="1"/>
  <c r="A1910" i="1"/>
  <c r="B1909" i="1"/>
  <c r="A1909" i="1"/>
  <c r="B1908" i="1"/>
  <c r="A1908" i="1"/>
  <c r="B1907" i="1"/>
  <c r="A1907" i="1"/>
  <c r="B1906" i="1"/>
  <c r="A1906" i="1"/>
  <c r="B1905" i="1"/>
  <c r="A1905" i="1"/>
  <c r="B1904" i="1"/>
  <c r="A1904" i="1"/>
  <c r="B1903" i="1"/>
  <c r="A1903" i="1"/>
  <c r="B1902" i="1"/>
  <c r="A1902" i="1"/>
  <c r="B1901" i="1"/>
  <c r="A1901" i="1"/>
  <c r="B1900" i="1"/>
  <c r="A1900" i="1"/>
  <c r="B1899" i="1"/>
  <c r="A1899" i="1"/>
  <c r="B1898" i="1"/>
  <c r="A1898" i="1"/>
  <c r="B1897" i="1"/>
  <c r="A1897" i="1"/>
  <c r="B1896" i="1"/>
  <c r="A1896" i="1"/>
  <c r="B1895" i="1"/>
  <c r="A1895" i="1"/>
  <c r="B1894" i="1"/>
  <c r="A1894" i="1"/>
  <c r="B1893" i="1"/>
  <c r="A1893" i="1"/>
  <c r="B1892" i="1"/>
  <c r="A1892" i="1"/>
  <c r="B1891" i="1"/>
  <c r="A1891" i="1"/>
  <c r="B1890" i="1"/>
  <c r="A1890" i="1"/>
  <c r="B1889" i="1"/>
  <c r="A1889" i="1"/>
  <c r="B1888" i="1"/>
  <c r="A1888" i="1"/>
  <c r="B1887" i="1"/>
  <c r="A1887" i="1"/>
  <c r="B1886" i="1"/>
  <c r="A1886" i="1"/>
  <c r="B1885" i="1"/>
  <c r="A1885" i="1"/>
  <c r="B1884" i="1"/>
  <c r="A1884" i="1"/>
  <c r="B1883" i="1"/>
  <c r="A1883" i="1"/>
  <c r="B1882" i="1"/>
  <c r="A1882" i="1"/>
  <c r="B1881" i="1"/>
  <c r="A1881" i="1"/>
  <c r="B1880" i="1"/>
  <c r="A1880" i="1"/>
  <c r="B1879" i="1"/>
  <c r="A1879" i="1"/>
  <c r="B1878" i="1"/>
  <c r="A1878" i="1"/>
  <c r="B1877" i="1"/>
  <c r="A1877" i="1"/>
  <c r="B1876" i="1"/>
  <c r="A1876" i="1"/>
  <c r="B1875" i="1"/>
  <c r="A1875" i="1"/>
  <c r="B1874" i="1"/>
  <c r="A1874" i="1"/>
  <c r="B1873" i="1"/>
  <c r="A1873" i="1"/>
  <c r="B1872" i="1"/>
  <c r="A1872" i="1"/>
  <c r="B1871" i="1"/>
  <c r="A1871" i="1"/>
  <c r="B1870" i="1"/>
  <c r="A1870" i="1"/>
  <c r="B1869" i="1"/>
  <c r="A1869" i="1"/>
  <c r="B1868" i="1"/>
  <c r="A1868" i="1"/>
  <c r="B1867" i="1"/>
  <c r="A1867" i="1"/>
  <c r="B1866" i="1"/>
  <c r="A1866" i="1"/>
  <c r="B1865" i="1"/>
  <c r="A1865" i="1"/>
  <c r="B1864" i="1"/>
  <c r="A1864" i="1"/>
  <c r="B1863" i="1"/>
  <c r="A1863" i="1"/>
  <c r="B1862" i="1"/>
  <c r="A1862" i="1"/>
  <c r="B1861" i="1"/>
  <c r="A1861" i="1"/>
  <c r="B1860" i="1"/>
  <c r="A1860" i="1"/>
  <c r="B1859" i="1"/>
  <c r="A1859" i="1"/>
  <c r="B1858" i="1"/>
  <c r="A1858" i="1"/>
  <c r="B1857" i="1"/>
  <c r="A1857" i="1"/>
  <c r="B1856" i="1"/>
  <c r="A1856" i="1"/>
  <c r="B1855" i="1"/>
  <c r="A1855" i="1"/>
  <c r="B1854" i="1"/>
  <c r="A1854" i="1"/>
  <c r="B1853" i="1"/>
  <c r="A1853" i="1"/>
  <c r="B1852" i="1"/>
  <c r="A1852" i="1"/>
  <c r="B1851" i="1"/>
  <c r="A1851" i="1"/>
  <c r="B1850" i="1"/>
  <c r="A1850" i="1"/>
  <c r="B1849" i="1"/>
  <c r="A1849" i="1"/>
  <c r="B1848" i="1"/>
  <c r="A1848" i="1"/>
  <c r="B1847" i="1"/>
  <c r="A1847" i="1"/>
  <c r="B1846" i="1"/>
  <c r="A1846" i="1"/>
  <c r="B1845" i="1"/>
  <c r="A1845" i="1"/>
  <c r="B1844" i="1"/>
  <c r="A1844" i="1"/>
  <c r="B1843" i="1"/>
  <c r="A1843" i="1"/>
  <c r="B1842" i="1"/>
  <c r="A1842" i="1"/>
  <c r="B1841" i="1"/>
  <c r="A1841" i="1"/>
  <c r="B1840" i="1"/>
  <c r="A1840" i="1"/>
  <c r="B1839" i="1"/>
  <c r="A1839" i="1"/>
  <c r="B1838" i="1"/>
  <c r="A1838" i="1"/>
  <c r="B1837" i="1"/>
  <c r="A1837" i="1"/>
  <c r="B1836" i="1"/>
  <c r="A1836" i="1"/>
  <c r="B1835" i="1"/>
  <c r="A1835" i="1"/>
  <c r="B1834" i="1"/>
  <c r="A1834" i="1"/>
  <c r="B1833" i="1"/>
  <c r="A1833" i="1"/>
  <c r="B1832" i="1"/>
  <c r="A1832" i="1"/>
  <c r="B1831" i="1"/>
  <c r="A1831" i="1"/>
  <c r="B1830" i="1"/>
  <c r="A1830" i="1"/>
  <c r="B1829" i="1"/>
  <c r="A1829" i="1"/>
  <c r="B1828" i="1"/>
  <c r="A1828" i="1"/>
  <c r="B1827" i="1"/>
  <c r="A1827" i="1"/>
  <c r="B1826" i="1"/>
  <c r="A1826" i="1"/>
  <c r="B1825" i="1"/>
  <c r="A1825" i="1"/>
  <c r="B1824" i="1"/>
  <c r="A1824" i="1"/>
  <c r="B1823" i="1"/>
  <c r="A1823" i="1"/>
  <c r="B1822" i="1"/>
  <c r="A1822" i="1"/>
  <c r="B1821" i="1"/>
  <c r="A1821" i="1"/>
  <c r="B1820" i="1"/>
  <c r="A1820" i="1"/>
  <c r="B1819" i="1"/>
  <c r="A1819" i="1"/>
  <c r="B1818" i="1"/>
  <c r="A1818" i="1"/>
  <c r="B1817" i="1"/>
  <c r="A1817" i="1"/>
  <c r="B1816" i="1"/>
  <c r="A1816" i="1"/>
  <c r="B1815" i="1"/>
  <c r="A1815" i="1"/>
  <c r="B1814" i="1"/>
  <c r="A1814" i="1"/>
  <c r="B1813" i="1"/>
  <c r="A1813" i="1"/>
  <c r="B1812" i="1"/>
  <c r="A1812" i="1"/>
  <c r="B1811" i="1"/>
  <c r="A1811" i="1"/>
  <c r="B1810" i="1"/>
  <c r="A1810" i="1"/>
  <c r="B1809" i="1"/>
  <c r="A1809" i="1"/>
  <c r="B1808" i="1"/>
  <c r="A1808" i="1"/>
  <c r="B1807" i="1"/>
  <c r="A1807" i="1"/>
  <c r="B1806" i="1"/>
  <c r="A1806" i="1"/>
  <c r="B1805" i="1"/>
  <c r="A1805" i="1"/>
  <c r="B1804" i="1"/>
  <c r="A1804" i="1"/>
  <c r="B1803" i="1"/>
  <c r="A1803" i="1"/>
  <c r="B1802" i="1"/>
  <c r="A1802" i="1"/>
  <c r="B1801" i="1"/>
  <c r="A1801" i="1"/>
  <c r="B1800" i="1"/>
  <c r="A1800" i="1"/>
  <c r="B1799" i="1"/>
  <c r="A1799" i="1"/>
  <c r="B1798" i="1"/>
  <c r="A1798" i="1"/>
  <c r="B1797" i="1"/>
  <c r="A1797" i="1"/>
  <c r="B1796" i="1"/>
  <c r="A1796" i="1"/>
  <c r="B1795" i="1"/>
  <c r="A1795" i="1"/>
  <c r="B1794" i="1"/>
  <c r="A1794" i="1"/>
  <c r="B1793" i="1"/>
  <c r="A1793" i="1"/>
  <c r="B1792" i="1"/>
  <c r="A1792" i="1"/>
  <c r="B1791" i="1"/>
  <c r="A1791" i="1"/>
  <c r="B1790" i="1"/>
  <c r="A1790" i="1"/>
  <c r="B1789" i="1"/>
  <c r="A1789" i="1"/>
  <c r="B1788" i="1"/>
  <c r="A1788" i="1"/>
  <c r="B1787" i="1"/>
  <c r="A1787" i="1"/>
  <c r="B1786" i="1"/>
  <c r="A1786" i="1"/>
  <c r="B1785" i="1"/>
  <c r="A1785" i="1"/>
  <c r="B1784" i="1"/>
  <c r="A1784" i="1"/>
  <c r="B1783" i="1"/>
  <c r="A1783" i="1"/>
  <c r="B1782" i="1"/>
  <c r="A1782" i="1"/>
  <c r="B1781" i="1"/>
  <c r="A1781" i="1"/>
  <c r="B1780" i="1"/>
  <c r="A1780" i="1"/>
  <c r="B1779" i="1"/>
  <c r="A1779" i="1"/>
  <c r="B1778" i="1"/>
  <c r="A1778" i="1"/>
  <c r="B1777" i="1"/>
  <c r="A1777" i="1"/>
  <c r="B1776" i="1"/>
  <c r="A1776" i="1"/>
  <c r="B1775" i="1"/>
  <c r="A1775" i="1"/>
  <c r="B1774" i="1"/>
  <c r="A1774" i="1"/>
  <c r="B1773" i="1"/>
  <c r="A1773" i="1"/>
  <c r="B1772" i="1"/>
  <c r="A1772" i="1"/>
  <c r="B1771" i="1"/>
  <c r="A1771" i="1"/>
  <c r="B1770" i="1"/>
  <c r="A1770" i="1"/>
  <c r="B1769" i="1"/>
  <c r="A1769" i="1"/>
  <c r="B1768" i="1"/>
  <c r="A1768" i="1"/>
  <c r="B1767" i="1"/>
  <c r="A1767" i="1"/>
  <c r="B1766" i="1"/>
  <c r="A1766" i="1"/>
  <c r="B1765" i="1"/>
  <c r="A1765" i="1"/>
  <c r="B1764" i="1"/>
  <c r="A1764" i="1"/>
  <c r="B1763" i="1"/>
  <c r="A1763" i="1"/>
  <c r="B1762" i="1"/>
  <c r="A1762" i="1"/>
  <c r="B1761" i="1"/>
  <c r="A1761" i="1"/>
  <c r="B1760" i="1"/>
  <c r="A1760" i="1"/>
  <c r="B1759" i="1"/>
  <c r="A1759" i="1"/>
  <c r="B1758" i="1"/>
  <c r="A1758" i="1"/>
  <c r="B1757" i="1"/>
  <c r="A1757" i="1"/>
  <c r="B1756" i="1"/>
  <c r="A1756" i="1"/>
  <c r="B1755" i="1"/>
  <c r="A1755" i="1"/>
  <c r="B1754" i="1"/>
  <c r="A1754" i="1"/>
  <c r="B1753" i="1"/>
  <c r="A1753" i="1"/>
  <c r="B1752" i="1"/>
  <c r="A1752" i="1"/>
  <c r="B1751" i="1"/>
  <c r="A1751" i="1"/>
  <c r="B1750" i="1"/>
  <c r="A1750" i="1"/>
  <c r="B1749" i="1"/>
  <c r="A1749" i="1"/>
  <c r="B1748" i="1"/>
  <c r="A1748" i="1"/>
  <c r="B1747" i="1"/>
  <c r="A1747" i="1"/>
  <c r="B1746" i="1"/>
  <c r="A1746" i="1"/>
  <c r="B1745" i="1"/>
  <c r="A1745" i="1"/>
  <c r="B1744" i="1"/>
  <c r="A1744" i="1"/>
  <c r="B1743" i="1"/>
  <c r="A1743" i="1"/>
  <c r="B1742" i="1"/>
  <c r="A1742" i="1"/>
  <c r="B1741" i="1"/>
  <c r="A1741" i="1"/>
  <c r="B1740" i="1"/>
  <c r="A1740" i="1"/>
  <c r="B1739" i="1"/>
  <c r="A1739" i="1"/>
  <c r="B1738" i="1"/>
  <c r="A1738" i="1"/>
  <c r="B1737" i="1"/>
  <c r="A1737" i="1"/>
  <c r="B1736" i="1"/>
  <c r="A1736" i="1"/>
  <c r="B1735" i="1"/>
  <c r="A1735" i="1"/>
  <c r="B1734" i="1"/>
  <c r="A1734" i="1"/>
  <c r="B1733" i="1"/>
  <c r="A1733" i="1"/>
  <c r="B1732" i="1"/>
  <c r="A1732" i="1"/>
  <c r="B1731" i="1"/>
  <c r="A1731" i="1"/>
  <c r="B1730" i="1"/>
  <c r="A1730" i="1"/>
  <c r="B1729" i="1"/>
  <c r="A1729" i="1"/>
  <c r="B1728" i="1"/>
  <c r="A1728" i="1"/>
  <c r="B1727" i="1"/>
  <c r="A1727" i="1"/>
  <c r="B1726" i="1"/>
  <c r="A1726" i="1"/>
  <c r="B1725" i="1"/>
  <c r="A1725" i="1"/>
  <c r="B1724" i="1"/>
  <c r="A1724" i="1"/>
  <c r="B1723" i="1"/>
  <c r="A1723" i="1"/>
  <c r="B1722" i="1"/>
  <c r="A1722" i="1"/>
  <c r="B1721" i="1"/>
  <c r="A1721" i="1"/>
  <c r="B1720" i="1"/>
  <c r="A1720" i="1"/>
  <c r="B1719" i="1"/>
  <c r="A1719" i="1"/>
  <c r="B1718" i="1"/>
  <c r="A1718" i="1"/>
  <c r="B1717" i="1"/>
  <c r="A1717" i="1"/>
  <c r="B1716" i="1"/>
  <c r="A1716" i="1"/>
  <c r="B1715" i="1"/>
  <c r="A1715" i="1"/>
  <c r="B1714" i="1"/>
  <c r="A1714" i="1"/>
  <c r="B1713" i="1"/>
  <c r="A1713" i="1"/>
  <c r="B1712" i="1"/>
  <c r="A1712" i="1"/>
  <c r="B1711" i="1"/>
  <c r="A1711" i="1"/>
  <c r="B1710" i="1"/>
  <c r="A1710" i="1"/>
  <c r="B1709" i="1"/>
  <c r="A1709" i="1"/>
  <c r="B1708" i="1"/>
  <c r="A1708" i="1"/>
  <c r="B1707" i="1"/>
  <c r="A1707" i="1"/>
  <c r="B1706" i="1"/>
  <c r="A1706" i="1"/>
  <c r="B1705" i="1"/>
  <c r="A1705" i="1"/>
  <c r="B1704" i="1"/>
  <c r="A1704" i="1"/>
  <c r="B1703" i="1"/>
  <c r="A1703" i="1"/>
  <c r="B1702" i="1"/>
  <c r="A1702" i="1"/>
  <c r="B1701" i="1"/>
  <c r="A1701" i="1"/>
  <c r="B1700" i="1"/>
  <c r="A1700" i="1"/>
  <c r="B1699" i="1"/>
  <c r="A1699" i="1"/>
  <c r="B1698" i="1"/>
  <c r="A1698" i="1"/>
  <c r="B1697" i="1"/>
  <c r="A1697" i="1"/>
  <c r="B1696" i="1"/>
  <c r="A1696" i="1"/>
  <c r="B1695" i="1"/>
  <c r="A1695" i="1"/>
  <c r="B1694" i="1"/>
  <c r="A1694" i="1"/>
  <c r="B1693" i="1"/>
  <c r="A1693" i="1"/>
  <c r="B1692" i="1"/>
  <c r="A1692" i="1"/>
  <c r="B1691" i="1"/>
  <c r="A1691" i="1"/>
  <c r="B1690" i="1"/>
  <c r="A1690" i="1"/>
  <c r="B1689" i="1"/>
  <c r="A1689" i="1"/>
  <c r="B1688" i="1"/>
  <c r="A1688" i="1"/>
  <c r="B1687" i="1"/>
  <c r="A1687" i="1"/>
  <c r="B1686" i="1"/>
  <c r="A1686" i="1"/>
  <c r="B1685" i="1"/>
  <c r="A1685" i="1"/>
  <c r="B1684" i="1"/>
  <c r="A1684" i="1"/>
  <c r="B1683" i="1"/>
  <c r="A1683" i="1"/>
  <c r="B1682" i="1"/>
  <c r="A1682" i="1"/>
  <c r="B1681" i="1"/>
  <c r="A1681" i="1"/>
  <c r="B1680" i="1"/>
  <c r="A1680" i="1"/>
  <c r="B1679" i="1"/>
  <c r="A1679" i="1"/>
  <c r="B1678" i="1"/>
  <c r="A1678" i="1"/>
  <c r="B1677" i="1"/>
  <c r="A1677" i="1"/>
  <c r="B1676" i="1"/>
  <c r="A1676" i="1"/>
  <c r="B1675" i="1"/>
  <c r="A1675" i="1"/>
  <c r="B1674" i="1"/>
  <c r="A1674" i="1"/>
  <c r="B1673" i="1"/>
  <c r="A1673" i="1"/>
  <c r="B1672" i="1"/>
  <c r="A1672" i="1"/>
  <c r="B1671" i="1"/>
  <c r="A1671" i="1"/>
  <c r="B1670" i="1"/>
  <c r="A1670" i="1"/>
  <c r="B1669" i="1"/>
  <c r="A1669" i="1"/>
  <c r="B1668" i="1"/>
  <c r="A1668" i="1"/>
  <c r="B1667" i="1"/>
  <c r="A1667" i="1"/>
  <c r="B1666" i="1"/>
  <c r="A1666" i="1"/>
  <c r="B1665" i="1"/>
  <c r="A1665" i="1"/>
  <c r="B1664" i="1"/>
  <c r="A1664" i="1"/>
  <c r="B1663" i="1"/>
  <c r="A1663" i="1"/>
  <c r="B1662" i="1"/>
  <c r="A1662" i="1"/>
  <c r="B1661" i="1"/>
  <c r="A1661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B1653" i="1"/>
  <c r="A1653" i="1"/>
  <c r="B1652" i="1"/>
  <c r="A1652" i="1"/>
  <c r="B1651" i="1"/>
  <c r="A1651" i="1"/>
  <c r="B1650" i="1"/>
  <c r="A1650" i="1"/>
  <c r="B1649" i="1"/>
  <c r="A1649" i="1"/>
  <c r="B1648" i="1"/>
  <c r="A1648" i="1"/>
  <c r="B1647" i="1"/>
  <c r="A1647" i="1"/>
  <c r="B1646" i="1"/>
  <c r="A1646" i="1"/>
  <c r="B1645" i="1"/>
  <c r="A1645" i="1"/>
  <c r="B1644" i="1"/>
  <c r="A1644" i="1"/>
  <c r="B1643" i="1"/>
  <c r="A1643" i="1"/>
  <c r="B1642" i="1"/>
  <c r="A1642" i="1"/>
  <c r="B1641" i="1"/>
  <c r="A1641" i="1"/>
  <c r="B1640" i="1"/>
  <c r="A1640" i="1"/>
  <c r="B1639" i="1"/>
  <c r="A1639" i="1"/>
  <c r="B1638" i="1"/>
  <c r="A1638" i="1"/>
  <c r="B1637" i="1"/>
  <c r="A1637" i="1"/>
  <c r="B1636" i="1"/>
  <c r="A1636" i="1"/>
  <c r="B1635" i="1"/>
  <c r="A1635" i="1"/>
  <c r="B1634" i="1"/>
  <c r="A1634" i="1"/>
  <c r="B1633" i="1"/>
  <c r="A1633" i="1"/>
  <c r="B1632" i="1"/>
  <c r="A1632" i="1"/>
  <c r="B1631" i="1"/>
  <c r="A1631" i="1"/>
  <c r="B1630" i="1"/>
  <c r="A1630" i="1"/>
  <c r="B1629" i="1"/>
  <c r="A1629" i="1"/>
  <c r="B1628" i="1"/>
  <c r="A1628" i="1"/>
  <c r="B1627" i="1"/>
  <c r="A1627" i="1"/>
  <c r="B1626" i="1"/>
  <c r="A1626" i="1"/>
  <c r="B1625" i="1"/>
  <c r="A1625" i="1"/>
  <c r="B1624" i="1"/>
  <c r="A1624" i="1"/>
  <c r="B1623" i="1"/>
  <c r="A1623" i="1"/>
  <c r="B1622" i="1"/>
  <c r="A1622" i="1"/>
  <c r="B1621" i="1"/>
  <c r="A1621" i="1"/>
  <c r="B1620" i="1"/>
  <c r="A1620" i="1"/>
  <c r="B1619" i="1"/>
  <c r="A1619" i="1"/>
  <c r="B1618" i="1"/>
  <c r="A1618" i="1"/>
  <c r="B1617" i="1"/>
  <c r="A1617" i="1"/>
  <c r="B1616" i="1"/>
  <c r="A1616" i="1"/>
  <c r="B1615" i="1"/>
  <c r="A1615" i="1"/>
  <c r="B1614" i="1"/>
  <c r="A1614" i="1"/>
  <c r="B1613" i="1"/>
  <c r="A1613" i="1"/>
  <c r="B1612" i="1"/>
  <c r="A1612" i="1"/>
  <c r="B1611" i="1"/>
  <c r="A1611" i="1"/>
  <c r="B1610" i="1"/>
  <c r="A1610" i="1"/>
  <c r="B1609" i="1"/>
  <c r="A1609" i="1"/>
  <c r="B1608" i="1"/>
  <c r="A1608" i="1"/>
  <c r="B1607" i="1"/>
  <c r="A1607" i="1"/>
  <c r="B1606" i="1"/>
  <c r="A1606" i="1"/>
  <c r="B1605" i="1"/>
  <c r="A1605" i="1"/>
  <c r="B1604" i="1"/>
  <c r="A1604" i="1"/>
  <c r="B1603" i="1"/>
  <c r="A1603" i="1"/>
  <c r="B1602" i="1"/>
  <c r="A1602" i="1"/>
  <c r="B1601" i="1"/>
  <c r="A1601" i="1"/>
  <c r="B1600" i="1"/>
  <c r="A1600" i="1"/>
  <c r="B1599" i="1"/>
  <c r="A1599" i="1"/>
  <c r="B1598" i="1"/>
  <c r="A1598" i="1"/>
  <c r="B1597" i="1"/>
  <c r="A1597" i="1"/>
  <c r="B1596" i="1"/>
  <c r="A1596" i="1"/>
  <c r="B1595" i="1"/>
  <c r="A1595" i="1"/>
  <c r="B1594" i="1"/>
  <c r="A1594" i="1"/>
  <c r="B1593" i="1"/>
  <c r="A1593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6" i="1"/>
  <c r="A1586" i="1"/>
  <c r="B1585" i="1"/>
  <c r="A1585" i="1"/>
  <c r="B1584" i="1"/>
  <c r="A1584" i="1"/>
  <c r="B1583" i="1"/>
  <c r="A1583" i="1"/>
  <c r="B1582" i="1"/>
  <c r="A1582" i="1"/>
  <c r="B1581" i="1"/>
  <c r="A1581" i="1"/>
  <c r="B1580" i="1"/>
  <c r="A1580" i="1"/>
  <c r="B1579" i="1"/>
  <c r="A1579" i="1"/>
  <c r="B1578" i="1"/>
  <c r="A1578" i="1"/>
  <c r="B1577" i="1"/>
  <c r="A1577" i="1"/>
  <c r="B1576" i="1"/>
  <c r="A1576" i="1"/>
  <c r="B1575" i="1"/>
  <c r="A1575" i="1"/>
  <c r="B1574" i="1"/>
  <c r="A1574" i="1"/>
  <c r="B1573" i="1"/>
  <c r="A1573" i="1"/>
  <c r="B1572" i="1"/>
  <c r="A1572" i="1"/>
  <c r="B1571" i="1"/>
  <c r="A1571" i="1"/>
  <c r="B1570" i="1"/>
  <c r="A1570" i="1"/>
  <c r="B1569" i="1"/>
  <c r="A1569" i="1"/>
  <c r="B1568" i="1"/>
  <c r="A1568" i="1"/>
  <c r="B1567" i="1"/>
  <c r="A1567" i="1"/>
  <c r="B1566" i="1"/>
  <c r="A1566" i="1"/>
  <c r="B1565" i="1"/>
  <c r="A1565" i="1"/>
  <c r="B1564" i="1"/>
  <c r="A1564" i="1"/>
  <c r="B1563" i="1"/>
  <c r="A1563" i="1"/>
  <c r="B1562" i="1"/>
  <c r="A1562" i="1"/>
  <c r="B1561" i="1"/>
  <c r="A1561" i="1"/>
  <c r="B1560" i="1"/>
  <c r="A1560" i="1"/>
  <c r="B1559" i="1"/>
  <c r="A1559" i="1"/>
  <c r="B1558" i="1"/>
  <c r="A1558" i="1"/>
  <c r="B1557" i="1"/>
  <c r="A1557" i="1"/>
  <c r="B1556" i="1"/>
  <c r="A1556" i="1"/>
  <c r="B1555" i="1"/>
  <c r="A1555" i="1"/>
  <c r="B1554" i="1"/>
  <c r="A1554" i="1"/>
  <c r="B1553" i="1"/>
  <c r="A1553" i="1"/>
  <c r="B1552" i="1"/>
  <c r="A1552" i="1"/>
  <c r="B1551" i="1"/>
  <c r="A1551" i="1"/>
  <c r="B1550" i="1"/>
  <c r="A1550" i="1"/>
  <c r="B1549" i="1"/>
  <c r="A1549" i="1"/>
  <c r="B1548" i="1"/>
  <c r="A1548" i="1"/>
  <c r="B1547" i="1"/>
  <c r="A1547" i="1"/>
  <c r="B1546" i="1"/>
  <c r="A1546" i="1"/>
  <c r="B1545" i="1"/>
  <c r="A1545" i="1"/>
  <c r="B1544" i="1"/>
  <c r="A1544" i="1"/>
  <c r="B1543" i="1"/>
  <c r="A1543" i="1"/>
  <c r="B1542" i="1"/>
  <c r="A1542" i="1"/>
  <c r="B1541" i="1"/>
  <c r="A1541" i="1"/>
  <c r="B1540" i="1"/>
  <c r="A1540" i="1"/>
  <c r="B1539" i="1"/>
  <c r="A1539" i="1"/>
  <c r="B1538" i="1"/>
  <c r="A1538" i="1"/>
  <c r="B1537" i="1"/>
  <c r="A1537" i="1"/>
  <c r="B1536" i="1"/>
  <c r="A1536" i="1"/>
  <c r="B1535" i="1"/>
  <c r="A1535" i="1"/>
  <c r="B1534" i="1"/>
  <c r="A1534" i="1"/>
  <c r="B1533" i="1"/>
  <c r="A1533" i="1"/>
  <c r="B1532" i="1"/>
  <c r="A1532" i="1"/>
  <c r="B1531" i="1"/>
  <c r="A1531" i="1"/>
  <c r="B1530" i="1"/>
  <c r="A1530" i="1"/>
  <c r="B1529" i="1"/>
  <c r="A1529" i="1"/>
  <c r="B1528" i="1"/>
  <c r="A1528" i="1"/>
  <c r="B1527" i="1"/>
  <c r="A1527" i="1"/>
  <c r="B1526" i="1"/>
  <c r="A1526" i="1"/>
  <c r="B1525" i="1"/>
  <c r="A1525" i="1"/>
  <c r="B1524" i="1"/>
  <c r="A1524" i="1"/>
  <c r="B1523" i="1"/>
  <c r="A1523" i="1"/>
  <c r="B1522" i="1"/>
  <c r="A1522" i="1"/>
  <c r="B1521" i="1"/>
  <c r="A1521" i="1"/>
  <c r="B1520" i="1"/>
  <c r="A1520" i="1"/>
  <c r="B1519" i="1"/>
  <c r="A1519" i="1"/>
  <c r="B1518" i="1"/>
  <c r="A1518" i="1"/>
  <c r="B1517" i="1"/>
  <c r="A1517" i="1"/>
  <c r="B1516" i="1"/>
  <c r="A1516" i="1"/>
  <c r="B1515" i="1"/>
  <c r="A1515" i="1"/>
  <c r="B1514" i="1"/>
  <c r="A1514" i="1"/>
  <c r="B1513" i="1"/>
  <c r="A1513" i="1"/>
  <c r="B1512" i="1"/>
  <c r="A1512" i="1"/>
  <c r="B1511" i="1"/>
  <c r="A1511" i="1"/>
  <c r="B1510" i="1"/>
  <c r="A1510" i="1"/>
  <c r="B1509" i="1"/>
  <c r="A1509" i="1"/>
  <c r="B1508" i="1"/>
  <c r="A1508" i="1"/>
  <c r="B1507" i="1"/>
  <c r="A1507" i="1"/>
  <c r="B1506" i="1"/>
  <c r="A1506" i="1"/>
  <c r="B1505" i="1"/>
  <c r="A1505" i="1"/>
  <c r="B1504" i="1"/>
  <c r="A1504" i="1"/>
  <c r="B1503" i="1"/>
  <c r="A1503" i="1"/>
  <c r="B1502" i="1"/>
  <c r="A1502" i="1"/>
  <c r="B1501" i="1"/>
  <c r="A1501" i="1"/>
  <c r="B1500" i="1"/>
  <c r="A1500" i="1"/>
  <c r="B1499" i="1"/>
  <c r="A1499" i="1"/>
  <c r="B1498" i="1"/>
  <c r="A1498" i="1"/>
  <c r="B1497" i="1"/>
  <c r="A1497" i="1"/>
  <c r="B1496" i="1"/>
  <c r="A1496" i="1"/>
  <c r="B1495" i="1"/>
  <c r="A1495" i="1"/>
  <c r="B1494" i="1"/>
  <c r="A1494" i="1"/>
  <c r="B1493" i="1"/>
  <c r="A1493" i="1"/>
  <c r="B1492" i="1"/>
  <c r="A1492" i="1"/>
  <c r="B1491" i="1"/>
  <c r="A1491" i="1"/>
  <c r="B1490" i="1"/>
  <c r="A1490" i="1"/>
  <c r="B1489" i="1"/>
  <c r="A1489" i="1"/>
  <c r="B1488" i="1"/>
  <c r="A1488" i="1"/>
  <c r="B1487" i="1"/>
  <c r="A1487" i="1"/>
  <c r="B1486" i="1"/>
  <c r="A1486" i="1"/>
  <c r="B1485" i="1"/>
  <c r="A1485" i="1"/>
  <c r="B1484" i="1"/>
  <c r="A1484" i="1"/>
  <c r="B1483" i="1"/>
  <c r="A1483" i="1"/>
  <c r="B1482" i="1"/>
  <c r="A1482" i="1"/>
  <c r="B1481" i="1"/>
  <c r="A1481" i="1"/>
  <c r="B1480" i="1"/>
  <c r="A1480" i="1"/>
  <c r="B1479" i="1"/>
  <c r="A1479" i="1"/>
  <c r="B1478" i="1"/>
  <c r="A1478" i="1"/>
  <c r="B1477" i="1"/>
  <c r="A1477" i="1"/>
  <c r="B1476" i="1"/>
  <c r="A1476" i="1"/>
  <c r="B1475" i="1"/>
  <c r="A1475" i="1"/>
  <c r="B1474" i="1"/>
  <c r="A1474" i="1"/>
  <c r="B1473" i="1"/>
  <c r="A1473" i="1"/>
  <c r="B1472" i="1"/>
  <c r="A1472" i="1"/>
  <c r="B1471" i="1"/>
  <c r="A1471" i="1"/>
  <c r="B1470" i="1"/>
  <c r="A1470" i="1"/>
  <c r="B1469" i="1"/>
  <c r="A1469" i="1"/>
  <c r="B1468" i="1"/>
  <c r="A1468" i="1"/>
  <c r="B1467" i="1"/>
  <c r="A1467" i="1"/>
  <c r="B1466" i="1"/>
  <c r="A1466" i="1"/>
  <c r="B1465" i="1"/>
  <c r="A1465" i="1"/>
  <c r="B1464" i="1"/>
  <c r="A1464" i="1"/>
  <c r="B1463" i="1"/>
  <c r="A1463" i="1"/>
  <c r="B1462" i="1"/>
  <c r="A1462" i="1"/>
  <c r="B1461" i="1"/>
  <c r="A1461" i="1"/>
  <c r="B1460" i="1"/>
  <c r="A1460" i="1"/>
  <c r="B1459" i="1"/>
  <c r="A1459" i="1"/>
  <c r="B1458" i="1"/>
  <c r="A1458" i="1"/>
  <c r="B1457" i="1"/>
  <c r="A1457" i="1"/>
  <c r="B1456" i="1"/>
  <c r="A1456" i="1"/>
  <c r="B1455" i="1"/>
  <c r="A1455" i="1"/>
  <c r="B1454" i="1"/>
  <c r="A1454" i="1"/>
  <c r="B1453" i="1"/>
  <c r="A1453" i="1"/>
  <c r="B1452" i="1"/>
  <c r="A1452" i="1"/>
  <c r="B1451" i="1"/>
  <c r="A1451" i="1"/>
  <c r="B1450" i="1"/>
  <c r="A1450" i="1"/>
  <c r="B1449" i="1"/>
  <c r="A1449" i="1"/>
  <c r="B1448" i="1"/>
  <c r="A1448" i="1"/>
  <c r="B1447" i="1"/>
  <c r="A1447" i="1"/>
  <c r="B1446" i="1"/>
  <c r="A1446" i="1"/>
  <c r="B1445" i="1"/>
  <c r="A1445" i="1"/>
  <c r="B1444" i="1"/>
  <c r="A1444" i="1"/>
  <c r="B1443" i="1"/>
  <c r="A1443" i="1"/>
  <c r="B1442" i="1"/>
  <c r="A1442" i="1"/>
  <c r="B1441" i="1"/>
  <c r="A1441" i="1"/>
  <c r="B1440" i="1"/>
  <c r="A1440" i="1"/>
  <c r="B1439" i="1"/>
  <c r="A1439" i="1"/>
  <c r="B1438" i="1"/>
  <c r="A1438" i="1"/>
  <c r="B1437" i="1"/>
  <c r="A1437" i="1"/>
  <c r="B1436" i="1"/>
  <c r="A1436" i="1"/>
  <c r="B1435" i="1"/>
  <c r="A1435" i="1"/>
  <c r="B1434" i="1"/>
  <c r="A1434" i="1"/>
  <c r="B1433" i="1"/>
  <c r="C1434" i="1" s="1"/>
  <c r="A1433" i="1"/>
  <c r="B1432" i="1"/>
  <c r="A1432" i="1"/>
  <c r="B1431" i="1"/>
  <c r="A1431" i="1"/>
  <c r="B1430" i="1"/>
  <c r="A1430" i="1"/>
  <c r="B1429" i="1"/>
  <c r="A1429" i="1"/>
  <c r="B1428" i="1"/>
  <c r="A1428" i="1"/>
  <c r="B1427" i="1"/>
  <c r="A1427" i="1"/>
  <c r="B1426" i="1"/>
  <c r="A1426" i="1"/>
  <c r="B1425" i="1"/>
  <c r="A1425" i="1"/>
  <c r="B1424" i="1"/>
  <c r="A1424" i="1"/>
  <c r="B1423" i="1"/>
  <c r="A1423" i="1"/>
  <c r="B1422" i="1"/>
  <c r="A1422" i="1"/>
  <c r="B1421" i="1"/>
  <c r="A1421" i="1"/>
  <c r="B1420" i="1"/>
  <c r="A1420" i="1"/>
  <c r="B1419" i="1"/>
  <c r="A1419" i="1"/>
  <c r="B1418" i="1"/>
  <c r="A1418" i="1"/>
  <c r="B1417" i="1"/>
  <c r="C1418" i="1" s="1"/>
  <c r="A1417" i="1"/>
  <c r="B1416" i="1"/>
  <c r="A1416" i="1"/>
  <c r="B1415" i="1"/>
  <c r="A1415" i="1"/>
  <c r="B1414" i="1"/>
  <c r="A1414" i="1"/>
  <c r="B1413" i="1"/>
  <c r="A1413" i="1"/>
  <c r="B1412" i="1"/>
  <c r="A1412" i="1"/>
  <c r="B1411" i="1"/>
  <c r="A1411" i="1"/>
  <c r="B1410" i="1"/>
  <c r="A1410" i="1"/>
  <c r="B1409" i="1"/>
  <c r="A1409" i="1"/>
  <c r="B1408" i="1"/>
  <c r="A1408" i="1"/>
  <c r="B1407" i="1"/>
  <c r="A1407" i="1"/>
  <c r="B1406" i="1"/>
  <c r="A1406" i="1"/>
  <c r="B1405" i="1"/>
  <c r="A1405" i="1"/>
  <c r="B1404" i="1"/>
  <c r="A1404" i="1"/>
  <c r="B1403" i="1"/>
  <c r="A1403" i="1"/>
  <c r="B1402" i="1"/>
  <c r="A1402" i="1"/>
  <c r="B1401" i="1"/>
  <c r="A1401" i="1"/>
  <c r="B1400" i="1"/>
  <c r="A1400" i="1"/>
  <c r="B1399" i="1"/>
  <c r="A1399" i="1"/>
  <c r="B1398" i="1"/>
  <c r="A1398" i="1"/>
  <c r="B1397" i="1"/>
  <c r="A1397" i="1"/>
  <c r="B1396" i="1"/>
  <c r="A1396" i="1"/>
  <c r="B1395" i="1"/>
  <c r="A1395" i="1"/>
  <c r="B1394" i="1"/>
  <c r="A1394" i="1"/>
  <c r="B1393" i="1"/>
  <c r="A1393" i="1"/>
  <c r="B1392" i="1"/>
  <c r="A1392" i="1"/>
  <c r="B1391" i="1"/>
  <c r="A1391" i="1"/>
  <c r="B1390" i="1"/>
  <c r="A1390" i="1"/>
  <c r="B1389" i="1"/>
  <c r="A1389" i="1"/>
  <c r="B1388" i="1"/>
  <c r="A1388" i="1"/>
  <c r="B1387" i="1"/>
  <c r="A1387" i="1"/>
  <c r="B1386" i="1"/>
  <c r="A1386" i="1"/>
  <c r="B1385" i="1"/>
  <c r="C1386" i="1" s="1"/>
  <c r="A1385" i="1"/>
  <c r="B1384" i="1"/>
  <c r="A1384" i="1"/>
  <c r="B1383" i="1"/>
  <c r="A1383" i="1"/>
  <c r="B1382" i="1"/>
  <c r="A1382" i="1"/>
  <c r="B1381" i="1"/>
  <c r="A1381" i="1"/>
  <c r="B1380" i="1"/>
  <c r="A1380" i="1"/>
  <c r="B1379" i="1"/>
  <c r="A1379" i="1"/>
  <c r="B1378" i="1"/>
  <c r="A1378" i="1"/>
  <c r="B1377" i="1"/>
  <c r="A1377" i="1"/>
  <c r="B1376" i="1"/>
  <c r="A1376" i="1"/>
  <c r="B1375" i="1"/>
  <c r="A1375" i="1"/>
  <c r="B1374" i="1"/>
  <c r="A1374" i="1"/>
  <c r="B1373" i="1"/>
  <c r="A1373" i="1"/>
  <c r="B1372" i="1"/>
  <c r="A1372" i="1"/>
  <c r="B1371" i="1"/>
  <c r="A1371" i="1"/>
  <c r="B1370" i="1"/>
  <c r="A1370" i="1"/>
  <c r="B1369" i="1"/>
  <c r="A1369" i="1"/>
  <c r="B1368" i="1"/>
  <c r="A1368" i="1"/>
  <c r="B1367" i="1"/>
  <c r="A1367" i="1"/>
  <c r="B1366" i="1"/>
  <c r="A1366" i="1"/>
  <c r="B1365" i="1"/>
  <c r="A1365" i="1"/>
  <c r="B1364" i="1"/>
  <c r="A1364" i="1"/>
  <c r="B1363" i="1"/>
  <c r="A1363" i="1"/>
  <c r="B1362" i="1"/>
  <c r="A1362" i="1"/>
  <c r="B1361" i="1"/>
  <c r="A1361" i="1"/>
  <c r="B1360" i="1"/>
  <c r="A1360" i="1"/>
  <c r="B1359" i="1"/>
  <c r="A1359" i="1"/>
  <c r="B1358" i="1"/>
  <c r="A1358" i="1"/>
  <c r="B1357" i="1"/>
  <c r="A1357" i="1"/>
  <c r="B1356" i="1"/>
  <c r="A1356" i="1"/>
  <c r="B1355" i="1"/>
  <c r="A1355" i="1"/>
  <c r="B1354" i="1"/>
  <c r="A1354" i="1"/>
  <c r="B1353" i="1"/>
  <c r="A1353" i="1"/>
  <c r="B1352" i="1"/>
  <c r="A1352" i="1"/>
  <c r="B1351" i="1"/>
  <c r="A1351" i="1"/>
  <c r="B1350" i="1"/>
  <c r="A1350" i="1"/>
  <c r="B1349" i="1"/>
  <c r="A1349" i="1"/>
  <c r="B1348" i="1"/>
  <c r="A1348" i="1"/>
  <c r="B1347" i="1"/>
  <c r="A1347" i="1"/>
  <c r="B1346" i="1"/>
  <c r="A1346" i="1"/>
  <c r="B1345" i="1"/>
  <c r="A1345" i="1"/>
  <c r="B1344" i="1"/>
  <c r="A1344" i="1"/>
  <c r="B1343" i="1"/>
  <c r="A1343" i="1"/>
  <c r="B1342" i="1"/>
  <c r="A1342" i="1"/>
  <c r="B1341" i="1"/>
  <c r="A1341" i="1"/>
  <c r="B1340" i="1"/>
  <c r="A1340" i="1"/>
  <c r="B1339" i="1"/>
  <c r="A1339" i="1"/>
  <c r="B1338" i="1"/>
  <c r="A1338" i="1"/>
  <c r="B1337" i="1"/>
  <c r="A1337" i="1"/>
  <c r="B1336" i="1"/>
  <c r="A1336" i="1"/>
  <c r="B1335" i="1"/>
  <c r="A1335" i="1"/>
  <c r="B1334" i="1"/>
  <c r="A1334" i="1"/>
  <c r="B1333" i="1"/>
  <c r="A1333" i="1"/>
  <c r="B1332" i="1"/>
  <c r="A1332" i="1"/>
  <c r="B1331" i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C1321" i="1" s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  <c r="B1256" i="1"/>
  <c r="A1256" i="1"/>
  <c r="B1255" i="1"/>
  <c r="A1255" i="1"/>
  <c r="B1254" i="1"/>
  <c r="A1254" i="1"/>
  <c r="B1253" i="1"/>
  <c r="A1253" i="1"/>
  <c r="B1252" i="1"/>
  <c r="A1252" i="1"/>
  <c r="B1251" i="1"/>
  <c r="A1251" i="1"/>
  <c r="B1250" i="1"/>
  <c r="A1250" i="1"/>
  <c r="B1249" i="1"/>
  <c r="A1249" i="1"/>
  <c r="B1248" i="1"/>
  <c r="A1248" i="1"/>
  <c r="B1247" i="1"/>
  <c r="A1247" i="1"/>
  <c r="B1246" i="1"/>
  <c r="A1246" i="1"/>
  <c r="B1245" i="1"/>
  <c r="A1245" i="1"/>
  <c r="B1244" i="1"/>
  <c r="A1244" i="1"/>
  <c r="B1243" i="1"/>
  <c r="A1243" i="1"/>
  <c r="B1242" i="1"/>
  <c r="A1242" i="1"/>
  <c r="B1241" i="1"/>
  <c r="A1241" i="1"/>
  <c r="B1240" i="1"/>
  <c r="A1240" i="1"/>
  <c r="B1239" i="1"/>
  <c r="A1239" i="1"/>
  <c r="B1238" i="1"/>
  <c r="A1238" i="1"/>
  <c r="B1237" i="1"/>
  <c r="A1237" i="1"/>
  <c r="B1236" i="1"/>
  <c r="A1236" i="1"/>
  <c r="B1235" i="1"/>
  <c r="A1235" i="1"/>
  <c r="B1234" i="1"/>
  <c r="A1234" i="1"/>
  <c r="B1233" i="1"/>
  <c r="A1233" i="1"/>
  <c r="B1232" i="1"/>
  <c r="A1232" i="1"/>
  <c r="B1231" i="1"/>
  <c r="A1231" i="1"/>
  <c r="B1230" i="1"/>
  <c r="A1230" i="1"/>
  <c r="B1229" i="1"/>
  <c r="A1229" i="1"/>
  <c r="B1228" i="1"/>
  <c r="A1228" i="1"/>
  <c r="B1227" i="1"/>
  <c r="A1227" i="1"/>
  <c r="B1226" i="1"/>
  <c r="A1226" i="1"/>
  <c r="B1225" i="1"/>
  <c r="A1225" i="1"/>
  <c r="B1224" i="1"/>
  <c r="A1224" i="1"/>
  <c r="B1223" i="1"/>
  <c r="A1223" i="1"/>
  <c r="B1222" i="1"/>
  <c r="A1222" i="1"/>
  <c r="B1221" i="1"/>
  <c r="A1221" i="1"/>
  <c r="B1220" i="1"/>
  <c r="A1220" i="1"/>
  <c r="B1219" i="1"/>
  <c r="A1219" i="1"/>
  <c r="B1218" i="1"/>
  <c r="A1218" i="1"/>
  <c r="B1217" i="1"/>
  <c r="A1217" i="1"/>
  <c r="B1216" i="1"/>
  <c r="A1216" i="1"/>
  <c r="B1215" i="1"/>
  <c r="A1215" i="1"/>
  <c r="B1214" i="1"/>
  <c r="A1214" i="1"/>
  <c r="B1213" i="1"/>
  <c r="A1213" i="1"/>
  <c r="B1212" i="1"/>
  <c r="A1212" i="1"/>
  <c r="B1211" i="1"/>
  <c r="A1211" i="1"/>
  <c r="B1210" i="1"/>
  <c r="A1210" i="1"/>
  <c r="B1209" i="1"/>
  <c r="A1209" i="1"/>
  <c r="B1208" i="1"/>
  <c r="A1208" i="1"/>
  <c r="B1207" i="1"/>
  <c r="A1207" i="1"/>
  <c r="B1206" i="1"/>
  <c r="A1206" i="1"/>
  <c r="B1205" i="1"/>
  <c r="A1205" i="1"/>
  <c r="B1204" i="1"/>
  <c r="A1204" i="1"/>
  <c r="B1203" i="1"/>
  <c r="A1203" i="1"/>
  <c r="B1202" i="1"/>
  <c r="A1202" i="1"/>
  <c r="B1201" i="1"/>
  <c r="A1201" i="1"/>
  <c r="B1200" i="1"/>
  <c r="A1200" i="1"/>
  <c r="B1199" i="1"/>
  <c r="A1199" i="1"/>
  <c r="B1198" i="1"/>
  <c r="A1198" i="1"/>
  <c r="B1197" i="1"/>
  <c r="A1197" i="1"/>
  <c r="B1196" i="1"/>
  <c r="A1196" i="1"/>
  <c r="B1195" i="1"/>
  <c r="A1195" i="1"/>
  <c r="B1194" i="1"/>
  <c r="A1194" i="1"/>
  <c r="B1193" i="1"/>
  <c r="A1193" i="1"/>
  <c r="B1192" i="1"/>
  <c r="C1193" i="1" s="1"/>
  <c r="A1192" i="1"/>
  <c r="B1191" i="1"/>
  <c r="A1191" i="1"/>
  <c r="B1190" i="1"/>
  <c r="A1190" i="1"/>
  <c r="B1189" i="1"/>
  <c r="A1189" i="1"/>
  <c r="B1188" i="1"/>
  <c r="A1188" i="1"/>
  <c r="B1187" i="1"/>
  <c r="A1187" i="1"/>
  <c r="B1186" i="1"/>
  <c r="A1186" i="1"/>
  <c r="B1185" i="1"/>
  <c r="A1185" i="1"/>
  <c r="B1184" i="1"/>
  <c r="C1185" i="1" s="1"/>
  <c r="A1184" i="1"/>
  <c r="B1183" i="1"/>
  <c r="A1183" i="1"/>
  <c r="B1182" i="1"/>
  <c r="A1182" i="1"/>
  <c r="B1181" i="1"/>
  <c r="A1181" i="1"/>
  <c r="B1180" i="1"/>
  <c r="A1180" i="1"/>
  <c r="B1179" i="1"/>
  <c r="A1179" i="1"/>
  <c r="B1178" i="1"/>
  <c r="A1178" i="1"/>
  <c r="B1177" i="1"/>
  <c r="A1177" i="1"/>
  <c r="B1176" i="1"/>
  <c r="A1176" i="1"/>
  <c r="B1175" i="1"/>
  <c r="A1175" i="1"/>
  <c r="B1174" i="1"/>
  <c r="A1174" i="1"/>
  <c r="B1173" i="1"/>
  <c r="A1173" i="1"/>
  <c r="B1172" i="1"/>
  <c r="C1172" i="1" s="1"/>
  <c r="A1172" i="1"/>
  <c r="B1171" i="1"/>
  <c r="A1171" i="1"/>
  <c r="B1170" i="1"/>
  <c r="A1170" i="1"/>
  <c r="B1169" i="1"/>
  <c r="A1169" i="1"/>
  <c r="B1168" i="1"/>
  <c r="A1168" i="1"/>
  <c r="B1167" i="1"/>
  <c r="A1167" i="1"/>
  <c r="B1166" i="1"/>
  <c r="A1166" i="1"/>
  <c r="B1165" i="1"/>
  <c r="A1165" i="1"/>
  <c r="B1164" i="1"/>
  <c r="A1164" i="1"/>
  <c r="B1163" i="1"/>
  <c r="A1163" i="1"/>
  <c r="B1162" i="1"/>
  <c r="A1162" i="1"/>
  <c r="B1161" i="1"/>
  <c r="A1161" i="1"/>
  <c r="B1160" i="1"/>
  <c r="A1160" i="1"/>
  <c r="B1159" i="1"/>
  <c r="A1159" i="1"/>
  <c r="B1158" i="1"/>
  <c r="A1158" i="1"/>
  <c r="B1157" i="1"/>
  <c r="A1157" i="1"/>
  <c r="B1156" i="1"/>
  <c r="A1156" i="1"/>
  <c r="B1155" i="1"/>
  <c r="A1155" i="1"/>
  <c r="B1154" i="1"/>
  <c r="A1154" i="1"/>
  <c r="B1153" i="1"/>
  <c r="A1153" i="1"/>
  <c r="B1152" i="1"/>
  <c r="A1152" i="1"/>
  <c r="B1151" i="1"/>
  <c r="A1151" i="1"/>
  <c r="B1150" i="1"/>
  <c r="A1150" i="1"/>
  <c r="B1149" i="1"/>
  <c r="A1149" i="1"/>
  <c r="B1148" i="1"/>
  <c r="A1148" i="1"/>
  <c r="B1147" i="1"/>
  <c r="A1147" i="1"/>
  <c r="B1146" i="1"/>
  <c r="A1146" i="1"/>
  <c r="B1145" i="1"/>
  <c r="A1145" i="1"/>
  <c r="B1144" i="1"/>
  <c r="A1144" i="1"/>
  <c r="B1143" i="1"/>
  <c r="A1143" i="1"/>
  <c r="B1142" i="1"/>
  <c r="A1142" i="1"/>
  <c r="B1141" i="1"/>
  <c r="A1141" i="1"/>
  <c r="B1140" i="1"/>
  <c r="C1140" i="1" s="1"/>
  <c r="A1140" i="1"/>
  <c r="B1139" i="1"/>
  <c r="A1139" i="1"/>
  <c r="B1138" i="1"/>
  <c r="A1138" i="1"/>
  <c r="B1137" i="1"/>
  <c r="A1137" i="1"/>
  <c r="B1136" i="1"/>
  <c r="A1136" i="1"/>
  <c r="B1135" i="1"/>
  <c r="A1135" i="1"/>
  <c r="B1134" i="1"/>
  <c r="A1134" i="1"/>
  <c r="B1133" i="1"/>
  <c r="A1133" i="1"/>
  <c r="B1132" i="1"/>
  <c r="A1132" i="1"/>
  <c r="B1131" i="1"/>
  <c r="A1131" i="1"/>
  <c r="B1130" i="1"/>
  <c r="A1130" i="1"/>
  <c r="B1129" i="1"/>
  <c r="A1129" i="1"/>
  <c r="B1128" i="1"/>
  <c r="C1129" i="1" s="1"/>
  <c r="A1128" i="1"/>
  <c r="B1127" i="1"/>
  <c r="A1127" i="1"/>
  <c r="B1126" i="1"/>
  <c r="A1126" i="1"/>
  <c r="B1125" i="1"/>
  <c r="A1125" i="1"/>
  <c r="B1124" i="1"/>
  <c r="C1124" i="1" s="1"/>
  <c r="A1124" i="1"/>
  <c r="B1123" i="1"/>
  <c r="A1123" i="1"/>
  <c r="B1122" i="1"/>
  <c r="A1122" i="1"/>
  <c r="B1121" i="1"/>
  <c r="A1121" i="1"/>
  <c r="B1120" i="1"/>
  <c r="A1120" i="1"/>
  <c r="B1119" i="1"/>
  <c r="A1119" i="1"/>
  <c r="B1118" i="1"/>
  <c r="A1118" i="1"/>
  <c r="B1117" i="1"/>
  <c r="A1117" i="1"/>
  <c r="B1116" i="1"/>
  <c r="C1116" i="1" s="1"/>
  <c r="A1116" i="1"/>
  <c r="B1115" i="1"/>
  <c r="A1115" i="1"/>
  <c r="B1114" i="1"/>
  <c r="A1114" i="1"/>
  <c r="B1113" i="1"/>
  <c r="A1113" i="1"/>
  <c r="B1112" i="1"/>
  <c r="A1112" i="1"/>
  <c r="B1111" i="1"/>
  <c r="A1111" i="1"/>
  <c r="B1110" i="1"/>
  <c r="A1110" i="1"/>
  <c r="B1109" i="1"/>
  <c r="A1109" i="1"/>
  <c r="B1108" i="1"/>
  <c r="A1108" i="1"/>
  <c r="B1107" i="1"/>
  <c r="A1107" i="1"/>
  <c r="B1106" i="1"/>
  <c r="A1106" i="1"/>
  <c r="B1105" i="1"/>
  <c r="A1105" i="1"/>
  <c r="B1104" i="1"/>
  <c r="A1104" i="1"/>
  <c r="B1103" i="1"/>
  <c r="A1103" i="1"/>
  <c r="B1102" i="1"/>
  <c r="A1102" i="1"/>
  <c r="B1101" i="1"/>
  <c r="A1101" i="1"/>
  <c r="B1100" i="1"/>
  <c r="A1100" i="1"/>
  <c r="B1099" i="1"/>
  <c r="A1099" i="1"/>
  <c r="B1098" i="1"/>
  <c r="A1098" i="1"/>
  <c r="B1097" i="1"/>
  <c r="A1097" i="1"/>
  <c r="B1096" i="1"/>
  <c r="A1096" i="1"/>
  <c r="B1095" i="1"/>
  <c r="A1095" i="1"/>
  <c r="B1094" i="1"/>
  <c r="A1094" i="1"/>
  <c r="B1093" i="1"/>
  <c r="A1093" i="1"/>
  <c r="B1092" i="1"/>
  <c r="C1092" i="1" s="1"/>
  <c r="A1092" i="1"/>
  <c r="B1091" i="1"/>
  <c r="A1091" i="1"/>
  <c r="B1090" i="1"/>
  <c r="A1090" i="1"/>
  <c r="B1089" i="1"/>
  <c r="A1089" i="1"/>
  <c r="B1088" i="1"/>
  <c r="A1088" i="1"/>
  <c r="B1087" i="1"/>
  <c r="A1087" i="1"/>
  <c r="B1086" i="1"/>
  <c r="A1086" i="1"/>
  <c r="B1085" i="1"/>
  <c r="A1085" i="1"/>
  <c r="B1084" i="1"/>
  <c r="A1084" i="1"/>
  <c r="B1083" i="1"/>
  <c r="A1083" i="1"/>
  <c r="B1082" i="1"/>
  <c r="A1082" i="1"/>
  <c r="B1081" i="1"/>
  <c r="A1081" i="1"/>
  <c r="B1080" i="1"/>
  <c r="A1080" i="1"/>
  <c r="B1079" i="1"/>
  <c r="A1079" i="1"/>
  <c r="B1078" i="1"/>
  <c r="A1078" i="1"/>
  <c r="B1077" i="1"/>
  <c r="A1077" i="1"/>
  <c r="B1076" i="1"/>
  <c r="A1076" i="1"/>
  <c r="B1075" i="1"/>
  <c r="A1075" i="1"/>
  <c r="B1074" i="1"/>
  <c r="A1074" i="1"/>
  <c r="B1073" i="1"/>
  <c r="A1073" i="1"/>
  <c r="B1072" i="1"/>
  <c r="A1072" i="1"/>
  <c r="B1071" i="1"/>
  <c r="A1071" i="1"/>
  <c r="B1070" i="1"/>
  <c r="A1070" i="1"/>
  <c r="B1069" i="1"/>
  <c r="A1069" i="1"/>
  <c r="B1068" i="1"/>
  <c r="A1068" i="1"/>
  <c r="B1067" i="1"/>
  <c r="A1067" i="1"/>
  <c r="B1066" i="1"/>
  <c r="A1066" i="1"/>
  <c r="B1065" i="1"/>
  <c r="A1065" i="1"/>
  <c r="B1064" i="1"/>
  <c r="A1064" i="1"/>
  <c r="B1063" i="1"/>
  <c r="A1063" i="1"/>
  <c r="B1062" i="1"/>
  <c r="A1062" i="1"/>
  <c r="B1061" i="1"/>
  <c r="A1061" i="1"/>
  <c r="B1060" i="1"/>
  <c r="A1060" i="1"/>
  <c r="B1059" i="1"/>
  <c r="A1059" i="1"/>
  <c r="B1058" i="1"/>
  <c r="A1058" i="1"/>
  <c r="B1057" i="1"/>
  <c r="A1057" i="1"/>
  <c r="B1056" i="1"/>
  <c r="A1056" i="1"/>
  <c r="B1055" i="1"/>
  <c r="A1055" i="1"/>
  <c r="B1054" i="1"/>
  <c r="A1054" i="1"/>
  <c r="B1053" i="1"/>
  <c r="A1053" i="1"/>
  <c r="B1052" i="1"/>
  <c r="A1052" i="1"/>
  <c r="B1051" i="1"/>
  <c r="A1051" i="1"/>
  <c r="B1050" i="1"/>
  <c r="A1050" i="1"/>
  <c r="B1049" i="1"/>
  <c r="A1049" i="1"/>
  <c r="B1048" i="1"/>
  <c r="A1048" i="1"/>
  <c r="B1047" i="1"/>
  <c r="A1047" i="1"/>
  <c r="B1046" i="1"/>
  <c r="A1046" i="1"/>
  <c r="B1045" i="1"/>
  <c r="A1045" i="1"/>
  <c r="B1044" i="1"/>
  <c r="A1044" i="1"/>
  <c r="B1043" i="1"/>
  <c r="A1043" i="1"/>
  <c r="B1042" i="1"/>
  <c r="A1042" i="1"/>
  <c r="B1041" i="1"/>
  <c r="A1041" i="1"/>
  <c r="B1040" i="1"/>
  <c r="A1040" i="1"/>
  <c r="B1039" i="1"/>
  <c r="A1039" i="1"/>
  <c r="B1038" i="1"/>
  <c r="A1038" i="1"/>
  <c r="B1037" i="1"/>
  <c r="A1037" i="1"/>
  <c r="B1036" i="1"/>
  <c r="A1036" i="1"/>
  <c r="B1035" i="1"/>
  <c r="A1035" i="1"/>
  <c r="B1034" i="1"/>
  <c r="A1034" i="1"/>
  <c r="B1033" i="1"/>
  <c r="A1033" i="1"/>
  <c r="B1032" i="1"/>
  <c r="A1032" i="1"/>
  <c r="B1031" i="1"/>
  <c r="A1031" i="1"/>
  <c r="B1030" i="1"/>
  <c r="A1030" i="1"/>
  <c r="B1029" i="1"/>
  <c r="A1029" i="1"/>
  <c r="B1028" i="1"/>
  <c r="A1028" i="1"/>
  <c r="B1027" i="1"/>
  <c r="A1027" i="1"/>
  <c r="B1026" i="1"/>
  <c r="A1026" i="1"/>
  <c r="B1025" i="1"/>
  <c r="A1025" i="1"/>
  <c r="B1024" i="1"/>
  <c r="A1024" i="1"/>
  <c r="B1023" i="1"/>
  <c r="A1023" i="1"/>
  <c r="B1022" i="1"/>
  <c r="A1022" i="1"/>
  <c r="B1021" i="1"/>
  <c r="A1021" i="1"/>
  <c r="B1020" i="1"/>
  <c r="A1020" i="1"/>
  <c r="B1019" i="1"/>
  <c r="A1019" i="1"/>
  <c r="B1018" i="1"/>
  <c r="A1018" i="1"/>
  <c r="B1017" i="1"/>
  <c r="A1017" i="1"/>
  <c r="B1016" i="1"/>
  <c r="A1016" i="1"/>
  <c r="B1015" i="1"/>
  <c r="A1015" i="1"/>
  <c r="B1014" i="1"/>
  <c r="A1014" i="1"/>
  <c r="B1013" i="1"/>
  <c r="A1013" i="1"/>
  <c r="B1012" i="1"/>
  <c r="A1012" i="1"/>
  <c r="B1011" i="1"/>
  <c r="A1011" i="1"/>
  <c r="B1010" i="1"/>
  <c r="A1010" i="1"/>
  <c r="B1009" i="1"/>
  <c r="A1009" i="1"/>
  <c r="B1008" i="1"/>
  <c r="A1008" i="1"/>
  <c r="B1007" i="1"/>
  <c r="A1007" i="1"/>
  <c r="B1006" i="1"/>
  <c r="A1006" i="1"/>
  <c r="B1005" i="1"/>
  <c r="A1005" i="1"/>
  <c r="B1004" i="1"/>
  <c r="C1004" i="1" s="1"/>
  <c r="A1004" i="1"/>
  <c r="B1003" i="1"/>
  <c r="A1003" i="1"/>
  <c r="B1002" i="1"/>
  <c r="A1002" i="1"/>
  <c r="B1001" i="1"/>
  <c r="A1001" i="1"/>
  <c r="B1000" i="1"/>
  <c r="C1000" i="1" s="1"/>
  <c r="A1000" i="1"/>
  <c r="B999" i="1"/>
  <c r="A999" i="1"/>
  <c r="B998" i="1"/>
  <c r="A998" i="1"/>
  <c r="B997" i="1"/>
  <c r="A997" i="1"/>
  <c r="B996" i="1"/>
  <c r="A996" i="1"/>
  <c r="B995" i="1"/>
  <c r="A995" i="1"/>
  <c r="B994" i="1"/>
  <c r="A994" i="1"/>
  <c r="B993" i="1"/>
  <c r="A993" i="1"/>
  <c r="B992" i="1"/>
  <c r="A992" i="1"/>
  <c r="B991" i="1"/>
  <c r="A991" i="1"/>
  <c r="B990" i="1"/>
  <c r="A990" i="1"/>
  <c r="B989" i="1"/>
  <c r="A989" i="1"/>
  <c r="B988" i="1"/>
  <c r="A988" i="1"/>
  <c r="B987" i="1"/>
  <c r="A987" i="1"/>
  <c r="B986" i="1"/>
  <c r="A986" i="1"/>
  <c r="B985" i="1"/>
  <c r="A985" i="1"/>
  <c r="B984" i="1"/>
  <c r="A984" i="1"/>
  <c r="B983" i="1"/>
  <c r="A983" i="1"/>
  <c r="B982" i="1"/>
  <c r="A982" i="1"/>
  <c r="B981" i="1"/>
  <c r="A981" i="1"/>
  <c r="B980" i="1"/>
  <c r="A980" i="1"/>
  <c r="B979" i="1"/>
  <c r="A979" i="1"/>
  <c r="B978" i="1"/>
  <c r="A978" i="1"/>
  <c r="B977" i="1"/>
  <c r="A977" i="1"/>
  <c r="B976" i="1"/>
  <c r="A976" i="1"/>
  <c r="B975" i="1"/>
  <c r="A975" i="1"/>
  <c r="B974" i="1"/>
  <c r="A974" i="1"/>
  <c r="B973" i="1"/>
  <c r="A973" i="1"/>
  <c r="B972" i="1"/>
  <c r="A972" i="1"/>
  <c r="B971" i="1"/>
  <c r="A971" i="1"/>
  <c r="B970" i="1"/>
  <c r="A970" i="1"/>
  <c r="B969" i="1"/>
  <c r="A969" i="1"/>
  <c r="B968" i="1"/>
  <c r="A968" i="1"/>
  <c r="B967" i="1"/>
  <c r="A967" i="1"/>
  <c r="B966" i="1"/>
  <c r="A966" i="1"/>
  <c r="B965" i="1"/>
  <c r="A965" i="1"/>
  <c r="B964" i="1"/>
  <c r="A964" i="1"/>
  <c r="B963" i="1"/>
  <c r="A963" i="1"/>
  <c r="B962" i="1"/>
  <c r="A962" i="1"/>
  <c r="B961" i="1"/>
  <c r="A961" i="1"/>
  <c r="B960" i="1"/>
  <c r="C961" i="1" s="1"/>
  <c r="A960" i="1"/>
  <c r="B959" i="1"/>
  <c r="A959" i="1"/>
  <c r="B958" i="1"/>
  <c r="A958" i="1"/>
  <c r="B957" i="1"/>
  <c r="A957" i="1"/>
  <c r="B956" i="1"/>
  <c r="A956" i="1"/>
  <c r="B955" i="1"/>
  <c r="A955" i="1"/>
  <c r="B954" i="1"/>
  <c r="A954" i="1"/>
  <c r="B953" i="1"/>
  <c r="A953" i="1"/>
  <c r="B952" i="1"/>
  <c r="A952" i="1"/>
  <c r="B951" i="1"/>
  <c r="A951" i="1"/>
  <c r="B950" i="1"/>
  <c r="A950" i="1"/>
  <c r="B949" i="1"/>
  <c r="A949" i="1"/>
  <c r="B948" i="1"/>
  <c r="A948" i="1"/>
  <c r="B947" i="1"/>
  <c r="A947" i="1"/>
  <c r="B946" i="1"/>
  <c r="A946" i="1"/>
  <c r="B945" i="1"/>
  <c r="A945" i="1"/>
  <c r="B944" i="1"/>
  <c r="A944" i="1"/>
  <c r="B943" i="1"/>
  <c r="A943" i="1"/>
  <c r="B942" i="1"/>
  <c r="A942" i="1"/>
  <c r="B941" i="1"/>
  <c r="A941" i="1"/>
  <c r="B940" i="1"/>
  <c r="A940" i="1"/>
  <c r="B939" i="1"/>
  <c r="A939" i="1"/>
  <c r="B938" i="1"/>
  <c r="A938" i="1"/>
  <c r="B937" i="1"/>
  <c r="A937" i="1"/>
  <c r="B936" i="1"/>
  <c r="A936" i="1"/>
  <c r="B935" i="1"/>
  <c r="A935" i="1"/>
  <c r="B934" i="1"/>
  <c r="A934" i="1"/>
  <c r="B933" i="1"/>
  <c r="A933" i="1"/>
  <c r="B932" i="1"/>
  <c r="A932" i="1"/>
  <c r="B931" i="1"/>
  <c r="A931" i="1"/>
  <c r="B930" i="1"/>
  <c r="A930" i="1"/>
  <c r="B929" i="1"/>
  <c r="A929" i="1"/>
  <c r="B928" i="1"/>
  <c r="A928" i="1"/>
  <c r="B927" i="1"/>
  <c r="A927" i="1"/>
  <c r="B926" i="1"/>
  <c r="A926" i="1"/>
  <c r="B925" i="1"/>
  <c r="A925" i="1"/>
  <c r="B924" i="1"/>
  <c r="A924" i="1"/>
  <c r="B923" i="1"/>
  <c r="A923" i="1"/>
  <c r="B922" i="1"/>
  <c r="A922" i="1"/>
  <c r="B921" i="1"/>
  <c r="A921" i="1"/>
  <c r="B920" i="1"/>
  <c r="A920" i="1"/>
  <c r="B919" i="1"/>
  <c r="A919" i="1"/>
  <c r="B918" i="1"/>
  <c r="A918" i="1"/>
  <c r="B917" i="1"/>
  <c r="A917" i="1"/>
  <c r="B916" i="1"/>
  <c r="A916" i="1"/>
  <c r="B915" i="1"/>
  <c r="A915" i="1"/>
  <c r="B914" i="1"/>
  <c r="A914" i="1"/>
  <c r="B913" i="1"/>
  <c r="A913" i="1"/>
  <c r="B912" i="1"/>
  <c r="A912" i="1"/>
  <c r="B911" i="1"/>
  <c r="A911" i="1"/>
  <c r="B910" i="1"/>
  <c r="A910" i="1"/>
  <c r="B909" i="1"/>
  <c r="A909" i="1"/>
  <c r="B908" i="1"/>
  <c r="A908" i="1"/>
  <c r="B907" i="1"/>
  <c r="A907" i="1"/>
  <c r="B906" i="1"/>
  <c r="A906" i="1"/>
  <c r="B905" i="1"/>
  <c r="A905" i="1"/>
  <c r="B904" i="1"/>
  <c r="A904" i="1"/>
  <c r="B903" i="1"/>
  <c r="A903" i="1"/>
  <c r="B902" i="1"/>
  <c r="A902" i="1"/>
  <c r="B901" i="1"/>
  <c r="A901" i="1"/>
  <c r="B900" i="1"/>
  <c r="A900" i="1"/>
  <c r="B899" i="1"/>
  <c r="A899" i="1"/>
  <c r="B898" i="1"/>
  <c r="A898" i="1"/>
  <c r="B897" i="1"/>
  <c r="A897" i="1"/>
  <c r="B896" i="1"/>
  <c r="A896" i="1"/>
  <c r="B895" i="1"/>
  <c r="A895" i="1"/>
  <c r="B894" i="1"/>
  <c r="A894" i="1"/>
  <c r="B893" i="1"/>
  <c r="A893" i="1"/>
  <c r="B892" i="1"/>
  <c r="A892" i="1"/>
  <c r="B891" i="1"/>
  <c r="A891" i="1"/>
  <c r="B890" i="1"/>
  <c r="A890" i="1"/>
  <c r="B889" i="1"/>
  <c r="A889" i="1"/>
  <c r="B888" i="1"/>
  <c r="A888" i="1"/>
  <c r="B887" i="1"/>
  <c r="A887" i="1"/>
  <c r="B886" i="1"/>
  <c r="A886" i="1"/>
  <c r="B885" i="1"/>
  <c r="A885" i="1"/>
  <c r="B884" i="1"/>
  <c r="A884" i="1"/>
  <c r="B883" i="1"/>
  <c r="A883" i="1"/>
  <c r="B882" i="1"/>
  <c r="A882" i="1"/>
  <c r="B881" i="1"/>
  <c r="A881" i="1"/>
  <c r="B880" i="1"/>
  <c r="A880" i="1"/>
  <c r="B879" i="1"/>
  <c r="A879" i="1"/>
  <c r="B878" i="1"/>
  <c r="A878" i="1"/>
  <c r="B877" i="1"/>
  <c r="A877" i="1"/>
  <c r="B876" i="1"/>
  <c r="A876" i="1"/>
  <c r="B875" i="1"/>
  <c r="A875" i="1"/>
  <c r="B874" i="1"/>
  <c r="A874" i="1"/>
  <c r="B873" i="1"/>
  <c r="A873" i="1"/>
  <c r="B872" i="1"/>
  <c r="A872" i="1"/>
  <c r="B871" i="1"/>
  <c r="A871" i="1"/>
  <c r="B870" i="1"/>
  <c r="A870" i="1"/>
  <c r="B869" i="1"/>
  <c r="A869" i="1"/>
  <c r="B868" i="1"/>
  <c r="A868" i="1"/>
  <c r="B867" i="1"/>
  <c r="A867" i="1"/>
  <c r="B866" i="1"/>
  <c r="A866" i="1"/>
  <c r="B865" i="1"/>
  <c r="A865" i="1"/>
  <c r="B864" i="1"/>
  <c r="A864" i="1"/>
  <c r="B863" i="1"/>
  <c r="A863" i="1"/>
  <c r="B862" i="1"/>
  <c r="A862" i="1"/>
  <c r="B861" i="1"/>
  <c r="A861" i="1"/>
  <c r="B860" i="1"/>
  <c r="A860" i="1"/>
  <c r="B859" i="1"/>
  <c r="A859" i="1"/>
  <c r="B858" i="1"/>
  <c r="A858" i="1"/>
  <c r="B857" i="1"/>
  <c r="A857" i="1"/>
  <c r="B856" i="1"/>
  <c r="A856" i="1"/>
  <c r="B855" i="1"/>
  <c r="A855" i="1"/>
  <c r="B854" i="1"/>
  <c r="A854" i="1"/>
  <c r="B853" i="1"/>
  <c r="A853" i="1"/>
  <c r="B852" i="1"/>
  <c r="A852" i="1"/>
  <c r="B851" i="1"/>
  <c r="A851" i="1"/>
  <c r="B850" i="1"/>
  <c r="A850" i="1"/>
  <c r="B849" i="1"/>
  <c r="A849" i="1"/>
  <c r="B848" i="1"/>
  <c r="A848" i="1"/>
  <c r="B847" i="1"/>
  <c r="A847" i="1"/>
  <c r="B846" i="1"/>
  <c r="A846" i="1"/>
  <c r="B845" i="1"/>
  <c r="A845" i="1"/>
  <c r="B844" i="1"/>
  <c r="A844" i="1"/>
  <c r="B843" i="1"/>
  <c r="A843" i="1"/>
  <c r="B842" i="1"/>
  <c r="A842" i="1"/>
  <c r="B841" i="1"/>
  <c r="A841" i="1"/>
  <c r="B840" i="1"/>
  <c r="A840" i="1"/>
  <c r="B839" i="1"/>
  <c r="A839" i="1"/>
  <c r="B838" i="1"/>
  <c r="A838" i="1"/>
  <c r="B837" i="1"/>
  <c r="A837" i="1"/>
  <c r="B836" i="1"/>
  <c r="A836" i="1"/>
  <c r="B835" i="1"/>
  <c r="A835" i="1"/>
  <c r="B834" i="1"/>
  <c r="A834" i="1"/>
  <c r="B833" i="1"/>
  <c r="A833" i="1"/>
  <c r="B832" i="1"/>
  <c r="C833" i="1" s="1"/>
  <c r="A832" i="1"/>
  <c r="B831" i="1"/>
  <c r="A831" i="1"/>
  <c r="B830" i="1"/>
  <c r="A830" i="1"/>
  <c r="B829" i="1"/>
  <c r="A829" i="1"/>
  <c r="B828" i="1"/>
  <c r="A828" i="1"/>
  <c r="B827" i="1"/>
  <c r="A827" i="1"/>
  <c r="B826" i="1"/>
  <c r="A826" i="1"/>
  <c r="B825" i="1"/>
  <c r="A825" i="1"/>
  <c r="B824" i="1"/>
  <c r="C825" i="1" s="1"/>
  <c r="A824" i="1"/>
  <c r="B823" i="1"/>
  <c r="A823" i="1"/>
  <c r="B822" i="1"/>
  <c r="A822" i="1"/>
  <c r="B821" i="1"/>
  <c r="A821" i="1"/>
  <c r="B820" i="1"/>
  <c r="A820" i="1"/>
  <c r="B819" i="1"/>
  <c r="A819" i="1"/>
  <c r="B818" i="1"/>
  <c r="A818" i="1"/>
  <c r="B817" i="1"/>
  <c r="A817" i="1"/>
  <c r="B816" i="1"/>
  <c r="A816" i="1"/>
  <c r="B815" i="1"/>
  <c r="A815" i="1"/>
  <c r="B814" i="1"/>
  <c r="A814" i="1"/>
  <c r="B813" i="1"/>
  <c r="A813" i="1"/>
  <c r="B812" i="1"/>
  <c r="A812" i="1"/>
  <c r="B811" i="1"/>
  <c r="A811" i="1"/>
  <c r="B810" i="1"/>
  <c r="A810" i="1"/>
  <c r="B809" i="1"/>
  <c r="A809" i="1"/>
  <c r="B808" i="1"/>
  <c r="A808" i="1"/>
  <c r="B807" i="1"/>
  <c r="A807" i="1"/>
  <c r="B806" i="1"/>
  <c r="A806" i="1"/>
  <c r="B805" i="1"/>
  <c r="A805" i="1"/>
  <c r="B804" i="1"/>
  <c r="A804" i="1"/>
  <c r="B803" i="1"/>
  <c r="A803" i="1"/>
  <c r="B802" i="1"/>
  <c r="A802" i="1"/>
  <c r="B801" i="1"/>
  <c r="A801" i="1"/>
  <c r="B800" i="1"/>
  <c r="A800" i="1"/>
  <c r="B799" i="1"/>
  <c r="A799" i="1"/>
  <c r="B798" i="1"/>
  <c r="A798" i="1"/>
  <c r="B797" i="1"/>
  <c r="A797" i="1"/>
  <c r="B796" i="1"/>
  <c r="A796" i="1"/>
  <c r="B795" i="1"/>
  <c r="A795" i="1"/>
  <c r="B794" i="1"/>
  <c r="A794" i="1"/>
  <c r="B793" i="1"/>
  <c r="A793" i="1"/>
  <c r="B792" i="1"/>
  <c r="A792" i="1"/>
  <c r="B791" i="1"/>
  <c r="A791" i="1"/>
  <c r="B790" i="1"/>
  <c r="A790" i="1"/>
  <c r="B789" i="1"/>
  <c r="A789" i="1"/>
  <c r="B788" i="1"/>
  <c r="A788" i="1"/>
  <c r="B787" i="1"/>
  <c r="A787" i="1"/>
  <c r="B786" i="1"/>
  <c r="A786" i="1"/>
  <c r="B785" i="1"/>
  <c r="A785" i="1"/>
  <c r="B784" i="1"/>
  <c r="A784" i="1"/>
  <c r="B783" i="1"/>
  <c r="A783" i="1"/>
  <c r="B782" i="1"/>
  <c r="A782" i="1"/>
  <c r="B781" i="1"/>
  <c r="A781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773" i="1"/>
  <c r="A773" i="1"/>
  <c r="B772" i="1"/>
  <c r="A772" i="1"/>
  <c r="B771" i="1"/>
  <c r="A771" i="1"/>
  <c r="B770" i="1"/>
  <c r="A770" i="1"/>
  <c r="B769" i="1"/>
  <c r="A769" i="1"/>
  <c r="B768" i="1"/>
  <c r="A768" i="1"/>
  <c r="B767" i="1"/>
  <c r="A767" i="1"/>
  <c r="B766" i="1"/>
  <c r="A766" i="1"/>
  <c r="B765" i="1"/>
  <c r="A765" i="1"/>
  <c r="B764" i="1"/>
  <c r="A764" i="1"/>
  <c r="B763" i="1"/>
  <c r="A763" i="1"/>
  <c r="B762" i="1"/>
  <c r="A762" i="1"/>
  <c r="B761" i="1"/>
  <c r="A761" i="1"/>
  <c r="B760" i="1"/>
  <c r="A760" i="1"/>
  <c r="B759" i="1"/>
  <c r="A759" i="1"/>
  <c r="B758" i="1"/>
  <c r="A758" i="1"/>
  <c r="B757" i="1"/>
  <c r="A757" i="1"/>
  <c r="B756" i="1"/>
  <c r="A756" i="1"/>
  <c r="B755" i="1"/>
  <c r="A755" i="1"/>
  <c r="B754" i="1"/>
  <c r="A754" i="1"/>
  <c r="B753" i="1"/>
  <c r="A753" i="1"/>
  <c r="B752" i="1"/>
  <c r="A752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6" i="1"/>
  <c r="A736" i="1"/>
  <c r="B735" i="1"/>
  <c r="A735" i="1"/>
  <c r="B734" i="1"/>
  <c r="A734" i="1"/>
  <c r="B733" i="1"/>
  <c r="A733" i="1"/>
  <c r="B732" i="1"/>
  <c r="A732" i="1"/>
  <c r="B731" i="1"/>
  <c r="A731" i="1"/>
  <c r="B730" i="1"/>
  <c r="A730" i="1"/>
  <c r="B729" i="1"/>
  <c r="A729" i="1"/>
  <c r="B728" i="1"/>
  <c r="A728" i="1"/>
  <c r="B727" i="1"/>
  <c r="A727" i="1"/>
  <c r="B726" i="1"/>
  <c r="A726" i="1"/>
  <c r="B725" i="1"/>
  <c r="A725" i="1"/>
  <c r="B724" i="1"/>
  <c r="A724" i="1"/>
  <c r="B723" i="1"/>
  <c r="A723" i="1"/>
  <c r="B722" i="1"/>
  <c r="A722" i="1"/>
  <c r="B721" i="1"/>
  <c r="A721" i="1"/>
  <c r="B720" i="1"/>
  <c r="A720" i="1"/>
  <c r="B719" i="1"/>
  <c r="A719" i="1"/>
  <c r="B718" i="1"/>
  <c r="A718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1" i="1"/>
  <c r="A711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3" i="1"/>
  <c r="A703" i="1"/>
  <c r="B702" i="1"/>
  <c r="A702" i="1"/>
  <c r="B701" i="1"/>
  <c r="A701" i="1"/>
  <c r="B700" i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B692" i="1"/>
  <c r="A692" i="1"/>
  <c r="B691" i="1"/>
  <c r="A691" i="1"/>
  <c r="B690" i="1"/>
  <c r="A690" i="1"/>
  <c r="B689" i="1"/>
  <c r="A689" i="1"/>
  <c r="B688" i="1"/>
  <c r="A688" i="1"/>
  <c r="B687" i="1"/>
  <c r="A687" i="1"/>
  <c r="B686" i="1"/>
  <c r="A686" i="1"/>
  <c r="B685" i="1"/>
  <c r="A685" i="1"/>
  <c r="B684" i="1"/>
  <c r="A684" i="1"/>
  <c r="B683" i="1"/>
  <c r="A683" i="1"/>
  <c r="B682" i="1"/>
  <c r="A682" i="1"/>
  <c r="B681" i="1"/>
  <c r="A681" i="1"/>
  <c r="B680" i="1"/>
  <c r="A680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3" i="1"/>
  <c r="A673" i="1"/>
  <c r="B672" i="1"/>
  <c r="A672" i="1"/>
  <c r="B671" i="1"/>
  <c r="A671" i="1"/>
  <c r="B670" i="1"/>
  <c r="A670" i="1"/>
  <c r="B669" i="1"/>
  <c r="A669" i="1"/>
  <c r="B668" i="1"/>
  <c r="A668" i="1"/>
  <c r="B667" i="1"/>
  <c r="A667" i="1"/>
  <c r="B666" i="1"/>
  <c r="A666" i="1"/>
  <c r="B665" i="1"/>
  <c r="A665" i="1"/>
  <c r="B664" i="1"/>
  <c r="A664" i="1"/>
  <c r="B663" i="1"/>
  <c r="A663" i="1"/>
  <c r="B662" i="1"/>
  <c r="A662" i="1"/>
  <c r="B661" i="1"/>
  <c r="A661" i="1"/>
  <c r="B660" i="1"/>
  <c r="A660" i="1"/>
  <c r="B659" i="1"/>
  <c r="A659" i="1"/>
  <c r="B658" i="1"/>
  <c r="A658" i="1"/>
  <c r="B657" i="1"/>
  <c r="A657" i="1"/>
  <c r="B656" i="1"/>
  <c r="A656" i="1"/>
  <c r="B655" i="1"/>
  <c r="A655" i="1"/>
  <c r="B654" i="1"/>
  <c r="A654" i="1"/>
  <c r="B653" i="1"/>
  <c r="A653" i="1"/>
  <c r="B652" i="1"/>
  <c r="A652" i="1"/>
  <c r="B651" i="1"/>
  <c r="A651" i="1"/>
  <c r="B650" i="1"/>
  <c r="A650" i="1"/>
  <c r="B649" i="1"/>
  <c r="A649" i="1"/>
  <c r="B648" i="1"/>
  <c r="A648" i="1"/>
  <c r="B647" i="1"/>
  <c r="A647" i="1"/>
  <c r="B646" i="1"/>
  <c r="A646" i="1"/>
  <c r="B645" i="1"/>
  <c r="A645" i="1"/>
  <c r="B644" i="1"/>
  <c r="A644" i="1"/>
  <c r="B643" i="1"/>
  <c r="A643" i="1"/>
  <c r="B642" i="1"/>
  <c r="A642" i="1"/>
  <c r="B641" i="1"/>
  <c r="A641" i="1"/>
  <c r="B640" i="1"/>
  <c r="A640" i="1"/>
  <c r="B639" i="1"/>
  <c r="A639" i="1"/>
  <c r="B638" i="1"/>
  <c r="A638" i="1"/>
  <c r="B637" i="1"/>
  <c r="A637" i="1"/>
  <c r="B636" i="1"/>
  <c r="A636" i="1"/>
  <c r="B635" i="1"/>
  <c r="A635" i="1"/>
  <c r="B634" i="1"/>
  <c r="A634" i="1"/>
  <c r="B633" i="1"/>
  <c r="A633" i="1"/>
  <c r="B632" i="1"/>
  <c r="A632" i="1"/>
  <c r="B631" i="1"/>
  <c r="A631" i="1"/>
  <c r="B630" i="1"/>
  <c r="A630" i="1"/>
  <c r="B629" i="1"/>
  <c r="A629" i="1"/>
  <c r="B628" i="1"/>
  <c r="A628" i="1"/>
  <c r="B627" i="1"/>
  <c r="A627" i="1"/>
  <c r="B626" i="1"/>
  <c r="A626" i="1"/>
  <c r="B625" i="1"/>
  <c r="A625" i="1"/>
  <c r="B624" i="1"/>
  <c r="A624" i="1"/>
  <c r="B623" i="1"/>
  <c r="A623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4" i="1"/>
  <c r="A614" i="1"/>
  <c r="B613" i="1"/>
  <c r="A613" i="1"/>
  <c r="B612" i="1"/>
  <c r="A612" i="1"/>
  <c r="B611" i="1"/>
  <c r="A611" i="1"/>
  <c r="B610" i="1"/>
  <c r="A610" i="1"/>
  <c r="B609" i="1"/>
  <c r="A609" i="1"/>
  <c r="B608" i="1"/>
  <c r="A608" i="1"/>
  <c r="B607" i="1"/>
  <c r="A607" i="1"/>
  <c r="B606" i="1"/>
  <c r="A606" i="1"/>
  <c r="B605" i="1"/>
  <c r="A605" i="1"/>
  <c r="B604" i="1"/>
  <c r="A604" i="1"/>
  <c r="B603" i="1"/>
  <c r="A603" i="1"/>
  <c r="B602" i="1"/>
  <c r="A602" i="1"/>
  <c r="B601" i="1"/>
  <c r="A601" i="1"/>
  <c r="B600" i="1"/>
  <c r="A600" i="1"/>
  <c r="B599" i="1"/>
  <c r="A599" i="1"/>
  <c r="B598" i="1"/>
  <c r="A598" i="1"/>
  <c r="B597" i="1"/>
  <c r="A597" i="1"/>
  <c r="B596" i="1"/>
  <c r="A596" i="1"/>
  <c r="B595" i="1"/>
  <c r="A595" i="1"/>
  <c r="B594" i="1"/>
  <c r="A594" i="1"/>
  <c r="B593" i="1"/>
  <c r="A593" i="1"/>
  <c r="B592" i="1"/>
  <c r="A592" i="1"/>
  <c r="B591" i="1"/>
  <c r="A591" i="1"/>
  <c r="B590" i="1"/>
  <c r="A590" i="1"/>
  <c r="B589" i="1"/>
  <c r="A589" i="1"/>
  <c r="B588" i="1"/>
  <c r="A588" i="1"/>
  <c r="B587" i="1"/>
  <c r="A587" i="1"/>
  <c r="B586" i="1"/>
  <c r="A586" i="1"/>
  <c r="B585" i="1"/>
  <c r="A585" i="1"/>
  <c r="B584" i="1"/>
  <c r="A584" i="1"/>
  <c r="B583" i="1"/>
  <c r="A583" i="1"/>
  <c r="B582" i="1"/>
  <c r="A582" i="1"/>
  <c r="B581" i="1"/>
  <c r="A581" i="1"/>
  <c r="B580" i="1"/>
  <c r="A580" i="1"/>
  <c r="B579" i="1"/>
  <c r="A579" i="1"/>
  <c r="B578" i="1"/>
  <c r="A578" i="1"/>
  <c r="B577" i="1"/>
  <c r="A577" i="1"/>
  <c r="B576" i="1"/>
  <c r="A576" i="1"/>
  <c r="B575" i="1"/>
  <c r="A575" i="1"/>
  <c r="B574" i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4" i="1"/>
  <c r="A544" i="1"/>
  <c r="B543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32" i="1"/>
  <c r="A532" i="1"/>
  <c r="B531" i="1"/>
  <c r="A531" i="1"/>
  <c r="B530" i="1"/>
  <c r="A530" i="1"/>
  <c r="B529" i="1"/>
  <c r="A529" i="1"/>
  <c r="B528" i="1"/>
  <c r="A528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8" i="1"/>
  <c r="A438" i="1"/>
  <c r="B437" i="1"/>
  <c r="A437" i="1"/>
  <c r="B436" i="1"/>
  <c r="A436" i="1"/>
  <c r="B435" i="1"/>
  <c r="A435" i="1"/>
  <c r="B434" i="1"/>
  <c r="A434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C345" i="1" s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C7" i="1" s="1"/>
  <c r="A6" i="1"/>
  <c r="B5" i="1"/>
  <c r="A5" i="1"/>
  <c r="B4" i="1"/>
  <c r="A4" i="1"/>
  <c r="B3" i="1"/>
  <c r="A3" i="1"/>
  <c r="B2" i="1"/>
  <c r="F2" i="1" s="1"/>
  <c r="A2" i="1"/>
  <c r="B1" i="1"/>
  <c r="A1" i="1"/>
  <c r="C1693" i="1" l="1"/>
  <c r="C1709" i="1"/>
  <c r="C1869" i="1"/>
  <c r="C1873" i="1"/>
  <c r="C2182" i="1"/>
  <c r="C2230" i="1"/>
  <c r="C2254" i="1"/>
  <c r="C2278" i="1"/>
  <c r="C2302" i="1"/>
  <c r="C2306" i="1"/>
  <c r="C2430" i="1"/>
  <c r="C2446" i="1"/>
  <c r="C2462" i="1"/>
  <c r="C2466" i="1"/>
  <c r="C2470" i="1"/>
  <c r="C2502" i="1"/>
  <c r="C2506" i="1"/>
  <c r="C891" i="1"/>
  <c r="C959" i="1"/>
  <c r="C2503" i="1"/>
  <c r="C2507" i="1"/>
  <c r="C2515" i="1"/>
  <c r="C1337" i="1"/>
  <c r="C1345" i="1"/>
  <c r="C1349" i="1"/>
  <c r="C1353" i="1"/>
  <c r="C1365" i="1"/>
  <c r="C1373" i="1"/>
  <c r="C1377" i="1"/>
  <c r="C1381" i="1"/>
  <c r="C1405" i="1"/>
  <c r="C1421" i="1"/>
  <c r="C1425" i="1"/>
  <c r="C1429" i="1"/>
  <c r="C1437" i="1"/>
  <c r="C1441" i="1"/>
  <c r="C1445" i="1"/>
  <c r="C1453" i="1"/>
  <c r="C1517" i="1"/>
  <c r="C1525" i="1"/>
  <c r="C1533" i="1"/>
  <c r="C1581" i="1"/>
  <c r="C1597" i="1"/>
  <c r="C1613" i="1"/>
  <c r="C1653" i="1"/>
  <c r="C2021" i="1"/>
  <c r="C2117" i="1"/>
  <c r="C142" i="1"/>
  <c r="C198" i="1"/>
  <c r="C206" i="1"/>
  <c r="C210" i="1"/>
  <c r="C238" i="1"/>
  <c r="C250" i="1"/>
  <c r="C254" i="1"/>
  <c r="C258" i="1"/>
  <c r="C262" i="1"/>
  <c r="C326" i="1"/>
  <c r="C334" i="1"/>
  <c r="C338" i="1"/>
  <c r="C342" i="1"/>
  <c r="C754" i="1"/>
  <c r="C810" i="1"/>
  <c r="C826" i="1"/>
  <c r="C854" i="1"/>
  <c r="C894" i="1"/>
  <c r="C1002" i="1"/>
  <c r="C1050" i="1"/>
  <c r="C1130" i="1"/>
  <c r="C1154" i="1"/>
  <c r="C1158" i="1"/>
  <c r="C1162" i="1"/>
  <c r="C1186" i="1"/>
  <c r="C1194" i="1"/>
  <c r="C1282" i="1"/>
  <c r="C1290" i="1"/>
  <c r="C1306" i="1"/>
  <c r="C1310" i="1"/>
  <c r="C1314" i="1"/>
  <c r="C1322" i="1"/>
  <c r="C1562" i="1"/>
  <c r="C1566" i="1"/>
  <c r="C1570" i="1"/>
  <c r="C1578" i="1"/>
  <c r="C1586" i="1"/>
  <c r="C1654" i="1"/>
  <c r="C1662" i="1"/>
  <c r="C1678" i="1"/>
  <c r="C1686" i="1"/>
  <c r="C1694" i="1"/>
  <c r="C100" i="1"/>
  <c r="C128" i="1"/>
  <c r="C228" i="1"/>
  <c r="C304" i="1"/>
  <c r="C312" i="1"/>
  <c r="C356" i="1"/>
  <c r="C360" i="1"/>
  <c r="C392" i="1"/>
  <c r="C416" i="1"/>
  <c r="C456" i="1"/>
  <c r="C520" i="1"/>
  <c r="C528" i="1"/>
  <c r="C788" i="1"/>
  <c r="C1372" i="1"/>
  <c r="C1524" i="1"/>
  <c r="C1716" i="1"/>
  <c r="C1812" i="1"/>
  <c r="C1844" i="1"/>
  <c r="C1860" i="1"/>
  <c r="C107" i="1"/>
  <c r="C1324" i="1"/>
  <c r="C1484" i="1"/>
  <c r="C171" i="1"/>
  <c r="C541" i="1"/>
  <c r="C545" i="1"/>
  <c r="C549" i="1"/>
  <c r="C585" i="1"/>
  <c r="C593" i="1"/>
  <c r="C605" i="1"/>
  <c r="C673" i="1"/>
  <c r="C677" i="1"/>
  <c r="C729" i="1"/>
  <c r="C733" i="1"/>
  <c r="C737" i="1"/>
  <c r="C877" i="1"/>
  <c r="C881" i="1"/>
  <c r="C921" i="1"/>
  <c r="C945" i="1"/>
  <c r="C1221" i="1"/>
  <c r="C1225" i="1"/>
  <c r="C1233" i="1"/>
  <c r="C1237" i="1"/>
  <c r="C1241" i="1"/>
  <c r="C1253" i="1"/>
  <c r="C1257" i="1"/>
  <c r="C1265" i="1"/>
  <c r="C1305" i="1"/>
  <c r="C1769" i="1"/>
  <c r="C1781" i="1"/>
  <c r="C1785" i="1"/>
  <c r="C1801" i="1"/>
  <c r="C1833" i="1"/>
  <c r="C1872" i="1"/>
  <c r="C1888" i="1"/>
  <c r="C1896" i="1"/>
  <c r="C1920" i="1"/>
  <c r="C2060" i="1"/>
  <c r="C2108" i="1"/>
  <c r="C2172" i="1"/>
  <c r="C2180" i="1"/>
  <c r="C2188" i="1"/>
  <c r="C2204" i="1"/>
  <c r="C2252" i="1"/>
  <c r="C2260" i="1"/>
  <c r="C2268" i="1"/>
  <c r="C2276" i="1"/>
  <c r="C2284" i="1"/>
  <c r="C2308" i="1"/>
  <c r="C1450" i="1"/>
  <c r="C59" i="1"/>
  <c r="C211" i="1"/>
  <c r="C299" i="1"/>
  <c r="C307" i="1"/>
  <c r="C363" i="1"/>
  <c r="C407" i="1"/>
  <c r="C431" i="1"/>
  <c r="C443" i="1"/>
  <c r="C535" i="1"/>
  <c r="C679" i="1"/>
  <c r="C719" i="1"/>
  <c r="C723" i="1"/>
  <c r="C747" i="1"/>
  <c r="C1216" i="1"/>
  <c r="C1224" i="1"/>
  <c r="C1240" i="1"/>
  <c r="C1256" i="1"/>
  <c r="C1304" i="1"/>
  <c r="C1699" i="1"/>
  <c r="C1707" i="1"/>
  <c r="C1739" i="1"/>
  <c r="C67" i="1"/>
  <c r="C91" i="1"/>
  <c r="C219" i="1"/>
  <c r="C1367" i="1"/>
  <c r="C1383" i="1"/>
  <c r="C1431" i="1"/>
  <c r="C1435" i="1"/>
  <c r="C1447" i="1"/>
  <c r="C1451" i="1"/>
  <c r="C1455" i="1"/>
  <c r="C1491" i="1"/>
  <c r="C1495" i="1"/>
  <c r="C1499" i="1"/>
  <c r="C1511" i="1"/>
  <c r="C1515" i="1"/>
  <c r="C794" i="1"/>
  <c r="C798" i="1"/>
  <c r="C802" i="1"/>
  <c r="C866" i="1"/>
  <c r="C922" i="1"/>
  <c r="C946" i="1"/>
  <c r="C1605" i="1"/>
  <c r="C104" i="1"/>
  <c r="C120" i="1"/>
  <c r="C135" i="1"/>
  <c r="C179" i="1"/>
  <c r="C184" i="1"/>
  <c r="C232" i="1"/>
  <c r="C248" i="1"/>
  <c r="C283" i="1"/>
  <c r="C287" i="1"/>
  <c r="C479" i="1"/>
  <c r="C487" i="1"/>
  <c r="C608" i="1"/>
  <c r="C727" i="1"/>
  <c r="C751" i="1"/>
  <c r="C2228" i="1"/>
  <c r="C2236" i="1"/>
  <c r="C2412" i="1"/>
  <c r="C2452" i="1"/>
  <c r="C2469" i="1"/>
  <c r="C2476" i="1"/>
  <c r="C2500" i="1"/>
  <c r="C2512" i="1"/>
  <c r="C80" i="1"/>
  <c r="C84" i="1"/>
  <c r="C88" i="1"/>
  <c r="C1099" i="1"/>
  <c r="C1211" i="1"/>
  <c r="C1251" i="1"/>
  <c r="C1474" i="1"/>
  <c r="C1482" i="1"/>
  <c r="C1506" i="1"/>
  <c r="C1538" i="1"/>
  <c r="C513" i="1"/>
  <c r="C1283" i="1"/>
  <c r="C1750" i="1"/>
  <c r="C1814" i="1"/>
  <c r="C1822" i="1"/>
  <c r="C1830" i="1"/>
  <c r="C1835" i="1"/>
  <c r="C1847" i="1"/>
  <c r="C1862" i="1"/>
  <c r="C1866" i="1"/>
  <c r="C1962" i="1"/>
  <c r="C1994" i="1"/>
  <c r="C2002" i="1"/>
  <c r="C2018" i="1"/>
  <c r="C2210" i="1"/>
  <c r="C2258" i="1"/>
  <c r="C41" i="1"/>
  <c r="C793" i="1"/>
  <c r="C980" i="1"/>
  <c r="C984" i="1"/>
  <c r="C1024" i="1"/>
  <c r="C1028" i="1"/>
  <c r="C1048" i="1"/>
  <c r="C1415" i="1"/>
  <c r="C1543" i="1"/>
  <c r="C1547" i="1"/>
  <c r="C1575" i="1"/>
  <c r="C1579" i="1"/>
  <c r="C1607" i="1"/>
  <c r="C1611" i="1"/>
  <c r="C1631" i="1"/>
  <c r="C1639" i="1"/>
  <c r="C853" i="1"/>
  <c r="C957" i="1"/>
  <c r="C1057" i="1"/>
  <c r="C1081" i="1"/>
  <c r="C1201" i="1"/>
  <c r="C2052" i="1"/>
  <c r="C146" i="1"/>
  <c r="C154" i="1"/>
  <c r="C270" i="1"/>
  <c r="C514" i="1"/>
  <c r="C578" i="1"/>
  <c r="C582" i="1"/>
  <c r="C1753" i="1"/>
  <c r="C1813" i="1"/>
  <c r="C1817" i="1"/>
  <c r="C1861" i="1"/>
  <c r="C49" i="1"/>
  <c r="C57" i="1"/>
  <c r="C73" i="1"/>
  <c r="C77" i="1"/>
  <c r="C116" i="1"/>
  <c r="C140" i="1"/>
  <c r="C144" i="1"/>
  <c r="C148" i="1"/>
  <c r="C152" i="1"/>
  <c r="C160" i="1"/>
  <c r="C196" i="1"/>
  <c r="C200" i="1"/>
  <c r="C236" i="1"/>
  <c r="C260" i="1"/>
  <c r="C272" i="1"/>
  <c r="C276" i="1"/>
  <c r="C280" i="1"/>
  <c r="C316" i="1"/>
  <c r="C324" i="1"/>
  <c r="C328" i="1"/>
  <c r="C332" i="1"/>
  <c r="C388" i="1"/>
  <c r="C432" i="1"/>
  <c r="C464" i="1"/>
  <c r="C508" i="1"/>
  <c r="C516" i="1"/>
  <c r="C551" i="1"/>
  <c r="C559" i="1"/>
  <c r="C591" i="1"/>
  <c r="C1054" i="1"/>
  <c r="C1089" i="1"/>
  <c r="C1113" i="1"/>
  <c r="C38" i="1"/>
  <c r="C791" i="1"/>
  <c r="C843" i="1"/>
  <c r="C847" i="1"/>
  <c r="C851" i="1"/>
  <c r="C919" i="1"/>
  <c r="C955" i="1"/>
  <c r="C956" i="1"/>
  <c r="C81" i="1"/>
  <c r="C42" i="1"/>
  <c r="C97" i="1"/>
  <c r="C105" i="1"/>
  <c r="C114" i="1"/>
  <c r="C121" i="1"/>
  <c r="C133" i="1"/>
  <c r="C161" i="1"/>
  <c r="C178" i="1"/>
  <c r="C185" i="1"/>
  <c r="C217" i="1"/>
  <c r="C233" i="1"/>
  <c r="C313" i="1"/>
  <c r="C34" i="1"/>
  <c r="C82" i="1"/>
  <c r="C529" i="1"/>
  <c r="C1719" i="1"/>
  <c r="C64" i="1"/>
  <c r="C167" i="1"/>
  <c r="C203" i="1"/>
  <c r="C267" i="1"/>
  <c r="C331" i="1"/>
  <c r="C423" i="1"/>
  <c r="C463" i="1"/>
  <c r="C519" i="1"/>
  <c r="C1457" i="1"/>
  <c r="C1458" i="1"/>
  <c r="C1461" i="1"/>
  <c r="C139" i="1"/>
  <c r="C17" i="1"/>
  <c r="C21" i="1"/>
  <c r="C24" i="1"/>
  <c r="C29" i="1"/>
  <c r="C37" i="1"/>
  <c r="C1330" i="1"/>
  <c r="C1338" i="1"/>
  <c r="C1342" i="1"/>
  <c r="C1727" i="1"/>
  <c r="C1775" i="1"/>
  <c r="C1783" i="1"/>
  <c r="C1791" i="1"/>
  <c r="C2309" i="1"/>
  <c r="C353" i="1"/>
  <c r="C361" i="1"/>
  <c r="C366" i="1"/>
  <c r="C370" i="1"/>
  <c r="C373" i="1"/>
  <c r="C377" i="1"/>
  <c r="C393" i="1"/>
  <c r="C401" i="1"/>
  <c r="C405" i="1"/>
  <c r="C409" i="1"/>
  <c r="C433" i="1"/>
  <c r="C449" i="1"/>
  <c r="C457" i="1"/>
  <c r="C473" i="1"/>
  <c r="C481" i="1"/>
  <c r="C497" i="1"/>
  <c r="C501" i="1"/>
  <c r="C505" i="1"/>
  <c r="C521" i="1"/>
  <c r="C525" i="1"/>
  <c r="C536" i="1"/>
  <c r="C568" i="1"/>
  <c r="C576" i="1"/>
  <c r="C580" i="1"/>
  <c r="C584" i="1"/>
  <c r="C601" i="1"/>
  <c r="C612" i="1"/>
  <c r="C616" i="1"/>
  <c r="C632" i="1"/>
  <c r="C641" i="1"/>
  <c r="C656" i="1"/>
  <c r="C664" i="1"/>
  <c r="C672" i="1"/>
  <c r="C680" i="1"/>
  <c r="C696" i="1"/>
  <c r="C704" i="1"/>
  <c r="C712" i="1"/>
  <c r="C983" i="1"/>
  <c r="C987" i="1"/>
  <c r="C991" i="1"/>
  <c r="C1007" i="1"/>
  <c r="C1031" i="1"/>
  <c r="C1058" i="1"/>
  <c r="C1066" i="1"/>
  <c r="C1074" i="1"/>
  <c r="C1260" i="1"/>
  <c r="C1276" i="1"/>
  <c r="C1281" i="1"/>
  <c r="C1312" i="1"/>
  <c r="C1320" i="1"/>
  <c r="C1346" i="1"/>
  <c r="C1406" i="1"/>
  <c r="C1477" i="1"/>
  <c r="C1500" i="1"/>
  <c r="C1508" i="1"/>
  <c r="C1513" i="1"/>
  <c r="C1529" i="1"/>
  <c r="C1532" i="1"/>
  <c r="C1540" i="1"/>
  <c r="C1556" i="1"/>
  <c r="C1561" i="1"/>
  <c r="C1572" i="1"/>
  <c r="C1577" i="1"/>
  <c r="C1593" i="1"/>
  <c r="C1596" i="1"/>
  <c r="C1625" i="1"/>
  <c r="C1633" i="1"/>
  <c r="C1641" i="1"/>
  <c r="C1673" i="1"/>
  <c r="C1681" i="1"/>
  <c r="C1875" i="1"/>
  <c r="C1891" i="1"/>
  <c r="C1959" i="1"/>
  <c r="C1963" i="1"/>
  <c r="C1967" i="1"/>
  <c r="C1971" i="1"/>
  <c r="C1983" i="1"/>
  <c r="C1987" i="1"/>
  <c r="C1991" i="1"/>
  <c r="C1995" i="1"/>
  <c r="C2066" i="1"/>
  <c r="C2098" i="1"/>
  <c r="C2114" i="1"/>
  <c r="C2122" i="1"/>
  <c r="C764" i="1"/>
  <c r="C808" i="1"/>
  <c r="C812" i="1"/>
  <c r="C816" i="1"/>
  <c r="C820" i="1"/>
  <c r="C828" i="1"/>
  <c r="C856" i="1"/>
  <c r="C864" i="1"/>
  <c r="C884" i="1"/>
  <c r="C889" i="1"/>
  <c r="C893" i="1"/>
  <c r="C908" i="1"/>
  <c r="C916" i="1"/>
  <c r="C932" i="1"/>
  <c r="C944" i="1"/>
  <c r="C1051" i="1"/>
  <c r="C1082" i="1"/>
  <c r="C1485" i="1"/>
  <c r="C1493" i="1"/>
  <c r="C1498" i="1"/>
  <c r="C1740" i="1"/>
  <c r="C1804" i="1"/>
  <c r="C1836" i="1"/>
  <c r="C1848" i="1"/>
  <c r="C2314" i="1"/>
  <c r="C2322" i="1"/>
  <c r="C2330" i="1"/>
  <c r="C2338" i="1"/>
  <c r="C2346" i="1"/>
  <c r="C2354" i="1"/>
  <c r="C2362" i="1"/>
  <c r="C2370" i="1"/>
  <c r="C2378" i="1"/>
  <c r="C2394" i="1"/>
  <c r="C2402" i="1"/>
  <c r="C2410" i="1"/>
  <c r="C2450" i="1"/>
  <c r="C2474" i="1"/>
  <c r="C2482" i="1"/>
  <c r="C2490" i="1"/>
  <c r="C2498" i="1"/>
  <c r="C1546" i="1"/>
  <c r="C1893" i="1"/>
  <c r="C1924" i="1"/>
  <c r="C1928" i="1"/>
  <c r="C1933" i="1"/>
  <c r="C1944" i="1"/>
  <c r="C1952" i="1"/>
  <c r="C1956" i="1"/>
  <c r="C2004" i="1"/>
  <c r="C2071" i="1"/>
  <c r="C2087" i="1"/>
  <c r="C2095" i="1"/>
  <c r="C781" i="1"/>
  <c r="C789" i="1"/>
  <c r="C1733" i="1"/>
  <c r="C1765" i="1"/>
  <c r="C1837" i="1"/>
  <c r="C1845" i="1"/>
  <c r="C1850" i="1"/>
  <c r="C2028" i="1"/>
  <c r="C2291" i="1"/>
  <c r="C2303" i="1"/>
  <c r="C2307" i="1"/>
  <c r="C2471" i="1"/>
  <c r="C610" i="1"/>
  <c r="C614" i="1"/>
  <c r="C622" i="1"/>
  <c r="C630" i="1"/>
  <c r="C642" i="1"/>
  <c r="C646" i="1"/>
  <c r="C654" i="1"/>
  <c r="C666" i="1"/>
  <c r="C686" i="1"/>
  <c r="C690" i="1"/>
  <c r="C694" i="1"/>
  <c r="C706" i="1"/>
  <c r="C993" i="1"/>
  <c r="C997" i="1"/>
  <c r="C1005" i="1"/>
  <c r="C1018" i="1"/>
  <c r="C1025" i="1"/>
  <c r="C1060" i="1"/>
  <c r="C1068" i="1"/>
  <c r="C1123" i="1"/>
  <c r="C1147" i="1"/>
  <c r="C1214" i="1"/>
  <c r="C1218" i="1"/>
  <c r="C1313" i="1"/>
  <c r="C1356" i="1"/>
  <c r="C1388" i="1"/>
  <c r="C1404" i="1"/>
  <c r="C1412" i="1"/>
  <c r="C1514" i="1"/>
  <c r="C1659" i="1"/>
  <c r="C1691" i="1"/>
  <c r="C1890" i="1"/>
  <c r="C1914" i="1"/>
  <c r="C1950" i="1"/>
  <c r="C1982" i="1"/>
  <c r="C600" i="1"/>
  <c r="C607" i="1"/>
  <c r="C2509" i="1"/>
  <c r="C2508" i="1"/>
  <c r="C3" i="1"/>
  <c r="C15" i="1"/>
  <c r="C85" i="1"/>
  <c r="C96" i="1"/>
  <c r="C108" i="1"/>
  <c r="C193" i="1"/>
  <c r="C216" i="1"/>
  <c r="C240" i="1"/>
  <c r="C243" i="1"/>
  <c r="C286" i="1"/>
  <c r="C321" i="1"/>
  <c r="C325" i="1"/>
  <c r="C333" i="1"/>
  <c r="C348" i="1"/>
  <c r="C352" i="1"/>
  <c r="C364" i="1"/>
  <c r="C372" i="1"/>
  <c r="C380" i="1"/>
  <c r="C427" i="1"/>
  <c r="C434" i="1"/>
  <c r="C442" i="1"/>
  <c r="C446" i="1"/>
  <c r="C454" i="1"/>
  <c r="C461" i="1"/>
  <c r="C472" i="1"/>
  <c r="C480" i="1"/>
  <c r="C488" i="1"/>
  <c r="C511" i="1"/>
  <c r="C563" i="1"/>
  <c r="C567" i="1"/>
  <c r="C571" i="1"/>
  <c r="C575" i="1"/>
  <c r="C597" i="1"/>
  <c r="C619" i="1"/>
  <c r="C623" i="1"/>
  <c r="C635" i="1"/>
  <c r="C639" i="1"/>
  <c r="C643" i="1"/>
  <c r="C648" i="1"/>
  <c r="C659" i="1"/>
  <c r="C663" i="1"/>
  <c r="C770" i="1"/>
  <c r="C778" i="1"/>
  <c r="C805" i="1"/>
  <c r="C813" i="1"/>
  <c r="C832" i="1"/>
  <c r="C836" i="1"/>
  <c r="C840" i="1"/>
  <c r="C874" i="1"/>
  <c r="C931" i="1"/>
  <c r="C1040" i="1"/>
  <c r="C1044" i="1"/>
  <c r="C1852" i="1"/>
  <c r="C1851" i="1"/>
  <c r="C2285" i="1"/>
  <c r="C23" i="1"/>
  <c r="C27" i="1"/>
  <c r="C31" i="1"/>
  <c r="C66" i="1"/>
  <c r="C70" i="1"/>
  <c r="C75" i="1"/>
  <c r="C89" i="1"/>
  <c r="C132" i="1"/>
  <c r="C147" i="1"/>
  <c r="C151" i="1"/>
  <c r="C155" i="1"/>
  <c r="C174" i="1"/>
  <c r="C182" i="1"/>
  <c r="C201" i="1"/>
  <c r="C205" i="1"/>
  <c r="C224" i="1"/>
  <c r="C247" i="1"/>
  <c r="C256" i="1"/>
  <c r="C264" i="1"/>
  <c r="C279" i="1"/>
  <c r="C302" i="1"/>
  <c r="C310" i="1"/>
  <c r="C341" i="1"/>
  <c r="C400" i="1"/>
  <c r="C408" i="1"/>
  <c r="C504" i="1"/>
  <c r="C522" i="1"/>
  <c r="C533" i="1"/>
  <c r="C544" i="1"/>
  <c r="C552" i="1"/>
  <c r="C583" i="1"/>
  <c r="C667" i="1"/>
  <c r="C671" i="1"/>
  <c r="C689" i="1"/>
  <c r="C697" i="1"/>
  <c r="C709" i="1"/>
  <c r="C720" i="1"/>
  <c r="C740" i="1"/>
  <c r="C767" i="1"/>
  <c r="C817" i="1"/>
  <c r="C829" i="1"/>
  <c r="C901" i="1"/>
  <c r="C920" i="1"/>
  <c r="C939" i="1"/>
  <c r="C943" i="1"/>
  <c r="C969" i="1"/>
  <c r="C973" i="1"/>
  <c r="C1010" i="1"/>
  <c r="C1621" i="1"/>
  <c r="C1620" i="1"/>
  <c r="C1652" i="1"/>
  <c r="C2170" i="1"/>
  <c r="C4" i="1"/>
  <c r="C47" i="1"/>
  <c r="C136" i="1"/>
  <c r="C314" i="1"/>
  <c r="C465" i="1"/>
  <c r="C560" i="1"/>
  <c r="C594" i="1"/>
  <c r="C713" i="1"/>
  <c r="C867" i="1"/>
  <c r="C882" i="1"/>
  <c r="C917" i="1"/>
  <c r="C981" i="1"/>
  <c r="C1033" i="1"/>
  <c r="C1749" i="1"/>
  <c r="C1748" i="1"/>
  <c r="C389" i="1"/>
  <c r="C512" i="1"/>
  <c r="C537" i="1"/>
  <c r="C769" i="1"/>
  <c r="C947" i="1"/>
  <c r="C985" i="1"/>
  <c r="C1026" i="1"/>
  <c r="C1049" i="1"/>
  <c r="C5" i="1"/>
  <c r="C9" i="1"/>
  <c r="C94" i="1"/>
  <c r="C103" i="1"/>
  <c r="C110" i="1"/>
  <c r="C137" i="1"/>
  <c r="C169" i="1"/>
  <c r="C187" i="1"/>
  <c r="C192" i="1"/>
  <c r="C195" i="1"/>
  <c r="C214" i="1"/>
  <c r="C242" i="1"/>
  <c r="C327" i="1"/>
  <c r="C335" i="1"/>
  <c r="C346" i="1"/>
  <c r="C354" i="1"/>
  <c r="C359" i="1"/>
  <c r="C362" i="1"/>
  <c r="C382" i="1"/>
  <c r="C386" i="1"/>
  <c r="C417" i="1"/>
  <c r="C429" i="1"/>
  <c r="C440" i="1"/>
  <c r="C448" i="1"/>
  <c r="C466" i="1"/>
  <c r="C470" i="1"/>
  <c r="C478" i="1"/>
  <c r="C490" i="1"/>
  <c r="C494" i="1"/>
  <c r="C561" i="1"/>
  <c r="C569" i="1"/>
  <c r="C595" i="1"/>
  <c r="C599" i="1"/>
  <c r="C609" i="1"/>
  <c r="C617" i="1"/>
  <c r="C625" i="1"/>
  <c r="C633" i="1"/>
  <c r="C637" i="1"/>
  <c r="C649" i="1"/>
  <c r="C657" i="1"/>
  <c r="C768" i="1"/>
  <c r="C772" i="1"/>
  <c r="C776" i="1"/>
  <c r="C795" i="1"/>
  <c r="C799" i="1"/>
  <c r="C842" i="1"/>
  <c r="C868" i="1"/>
  <c r="C925" i="1"/>
  <c r="C1034" i="1"/>
  <c r="C1038" i="1"/>
  <c r="C25" i="1"/>
  <c r="C33" i="1"/>
  <c r="C53" i="1"/>
  <c r="C68" i="1"/>
  <c r="C72" i="1"/>
  <c r="C122" i="1"/>
  <c r="C126" i="1"/>
  <c r="C130" i="1"/>
  <c r="C153" i="1"/>
  <c r="C158" i="1"/>
  <c r="C172" i="1"/>
  <c r="C180" i="1"/>
  <c r="C199" i="1"/>
  <c r="C207" i="1"/>
  <c r="C218" i="1"/>
  <c r="C222" i="1"/>
  <c r="C231" i="1"/>
  <c r="C265" i="1"/>
  <c r="C269" i="1"/>
  <c r="C277" i="1"/>
  <c r="C339" i="1"/>
  <c r="C395" i="1"/>
  <c r="C398" i="1"/>
  <c r="C410" i="1"/>
  <c r="C414" i="1"/>
  <c r="C498" i="1"/>
  <c r="C538" i="1"/>
  <c r="C542" i="1"/>
  <c r="C550" i="1"/>
  <c r="C558" i="1"/>
  <c r="C577" i="1"/>
  <c r="C592" i="1"/>
  <c r="C665" i="1"/>
  <c r="C669" i="1"/>
  <c r="C676" i="1"/>
  <c r="C683" i="1"/>
  <c r="C687" i="1"/>
  <c r="C691" i="1"/>
  <c r="C695" i="1"/>
  <c r="C699" i="1"/>
  <c r="C703" i="1"/>
  <c r="C722" i="1"/>
  <c r="C726" i="1"/>
  <c r="C734" i="1"/>
  <c r="C765" i="1"/>
  <c r="C819" i="1"/>
  <c r="C831" i="1"/>
  <c r="C850" i="1"/>
  <c r="C857" i="1"/>
  <c r="C880" i="1"/>
  <c r="C896" i="1"/>
  <c r="C907" i="1"/>
  <c r="C933" i="1"/>
  <c r="C941" i="1"/>
  <c r="C967" i="1"/>
  <c r="C994" i="1"/>
  <c r="C1001" i="1"/>
  <c r="C1009" i="1"/>
  <c r="C1097" i="1"/>
  <c r="C1105" i="1"/>
  <c r="C1531" i="1"/>
  <c r="C1530" i="1"/>
  <c r="C1595" i="1"/>
  <c r="C1594" i="1"/>
  <c r="C1061" i="1"/>
  <c r="C1073" i="1"/>
  <c r="C1155" i="1"/>
  <c r="C1179" i="1"/>
  <c r="C1184" i="1"/>
  <c r="C1192" i="1"/>
  <c r="C1222" i="1"/>
  <c r="C1226" i="1"/>
  <c r="C1242" i="1"/>
  <c r="C1246" i="1"/>
  <c r="C1250" i="1"/>
  <c r="C1269" i="1"/>
  <c r="C1292" i="1"/>
  <c r="C1389" i="1"/>
  <c r="C1393" i="1"/>
  <c r="C1402" i="1"/>
  <c r="C1416" i="1"/>
  <c r="C1428" i="1"/>
  <c r="C1432" i="1"/>
  <c r="C1459" i="1"/>
  <c r="C1527" i="1"/>
  <c r="C1549" i="1"/>
  <c r="C1587" i="1"/>
  <c r="C1591" i="1"/>
  <c r="C1628" i="1"/>
  <c r="C1636" i="1"/>
  <c r="C1644" i="1"/>
  <c r="C1663" i="1"/>
  <c r="C1671" i="1"/>
  <c r="C1679" i="1"/>
  <c r="C1702" i="1"/>
  <c r="C1741" i="1"/>
  <c r="C1772" i="1"/>
  <c r="C1807" i="1"/>
  <c r="C1881" i="1"/>
  <c r="C1885" i="1"/>
  <c r="C1901" i="1"/>
  <c r="C1909" i="1"/>
  <c r="C1960" i="1"/>
  <c r="C2007" i="1"/>
  <c r="C2011" i="1"/>
  <c r="C2015" i="1"/>
  <c r="C2026" i="1"/>
  <c r="C2076" i="1"/>
  <c r="C2084" i="1"/>
  <c r="C2092" i="1"/>
  <c r="C2103" i="1"/>
  <c r="C2107" i="1"/>
  <c r="C2130" i="1"/>
  <c r="C2138" i="1"/>
  <c r="C2146" i="1"/>
  <c r="C2154" i="1"/>
  <c r="C2162" i="1"/>
  <c r="C2300" i="1"/>
  <c r="C2315" i="1"/>
  <c r="C2319" i="1"/>
  <c r="C2418" i="1"/>
  <c r="C2426" i="1"/>
  <c r="C2434" i="1"/>
  <c r="C2479" i="1"/>
  <c r="C2483" i="1"/>
  <c r="C2501" i="1"/>
  <c r="C1258" i="1"/>
  <c r="C1262" i="1"/>
  <c r="C1285" i="1"/>
  <c r="C1289" i="1"/>
  <c r="C1336" i="1"/>
  <c r="C1344" i="1"/>
  <c r="C1354" i="1"/>
  <c r="C1363" i="1"/>
  <c r="C1370" i="1"/>
  <c r="C1378" i="1"/>
  <c r="C1409" i="1"/>
  <c r="C1436" i="1"/>
  <c r="C1444" i="1"/>
  <c r="C1452" i="1"/>
  <c r="C1463" i="1"/>
  <c r="C1467" i="1"/>
  <c r="C1471" i="1"/>
  <c r="C1475" i="1"/>
  <c r="C1479" i="1"/>
  <c r="C1490" i="1"/>
  <c r="C1501" i="1"/>
  <c r="C1509" i="1"/>
  <c r="C1565" i="1"/>
  <c r="C1573" i="1"/>
  <c r="C1580" i="1"/>
  <c r="C1598" i="1"/>
  <c r="C1718" i="1"/>
  <c r="C1726" i="1"/>
  <c r="C1780" i="1"/>
  <c r="C1796" i="1"/>
  <c r="C1815" i="1"/>
  <c r="C1823" i="1"/>
  <c r="C1878" i="1"/>
  <c r="C1921" i="1"/>
  <c r="C1937" i="1"/>
  <c r="C1953" i="1"/>
  <c r="C1976" i="1"/>
  <c r="C1980" i="1"/>
  <c r="C2019" i="1"/>
  <c r="C2042" i="1"/>
  <c r="C2050" i="1"/>
  <c r="C2100" i="1"/>
  <c r="C2111" i="1"/>
  <c r="C2119" i="1"/>
  <c r="C2178" i="1"/>
  <c r="C2186" i="1"/>
  <c r="C2194" i="1"/>
  <c r="C2202" i="1"/>
  <c r="C2323" i="1"/>
  <c r="C2343" i="1"/>
  <c r="C2347" i="1"/>
  <c r="C2367" i="1"/>
  <c r="C2371" i="1"/>
  <c r="C2383" i="1"/>
  <c r="C2395" i="1"/>
  <c r="C2407" i="1"/>
  <c r="C2411" i="1"/>
  <c r="C2442" i="1"/>
  <c r="C2491" i="1"/>
  <c r="C2495" i="1"/>
  <c r="C1219" i="1"/>
  <c r="C1266" i="1"/>
  <c r="C1278" i="1"/>
  <c r="C1297" i="1"/>
  <c r="C1413" i="1"/>
  <c r="C1460" i="1"/>
  <c r="C1483" i="1"/>
  <c r="C1554" i="1"/>
  <c r="C1588" i="1"/>
  <c r="C1614" i="1"/>
  <c r="C1629" i="1"/>
  <c r="C1637" i="1"/>
  <c r="C1645" i="1"/>
  <c r="C1660" i="1"/>
  <c r="C1676" i="1"/>
  <c r="C1684" i="1"/>
  <c r="C1711" i="1"/>
  <c r="C1734" i="1"/>
  <c r="C1773" i="1"/>
  <c r="C1871" i="1"/>
  <c r="C1882" i="1"/>
  <c r="C1887" i="1"/>
  <c r="C1898" i="1"/>
  <c r="C2012" i="1"/>
  <c r="C2135" i="1"/>
  <c r="C2143" i="1"/>
  <c r="C2147" i="1"/>
  <c r="C2159" i="1"/>
  <c r="C2167" i="1"/>
  <c r="C2218" i="1"/>
  <c r="C2226" i="1"/>
  <c r="C2234" i="1"/>
  <c r="C2242" i="1"/>
  <c r="C2250" i="1"/>
  <c r="C2266" i="1"/>
  <c r="C2274" i="1"/>
  <c r="C2282" i="1"/>
  <c r="C2419" i="1"/>
  <c r="C2431" i="1"/>
  <c r="C2435" i="1"/>
  <c r="C2458" i="1"/>
  <c r="C2485" i="1"/>
  <c r="C1090" i="1"/>
  <c r="C1098" i="1"/>
  <c r="C1106" i="1"/>
  <c r="C1122" i="1"/>
  <c r="C1133" i="1"/>
  <c r="C1146" i="1"/>
  <c r="C1153" i="1"/>
  <c r="C1196" i="1"/>
  <c r="C1204" i="1"/>
  <c r="C1217" i="1"/>
  <c r="C1329" i="1"/>
  <c r="C1352" i="1"/>
  <c r="C1481" i="1"/>
  <c r="C1539" i="1"/>
  <c r="C1758" i="1"/>
  <c r="C1797" i="1"/>
  <c r="C1839" i="1"/>
  <c r="C1853" i="1"/>
  <c r="C1864" i="1"/>
  <c r="C1922" i="1"/>
  <c r="C1930" i="1"/>
  <c r="C1938" i="1"/>
  <c r="C1946" i="1"/>
  <c r="C1969" i="1"/>
  <c r="C1977" i="1"/>
  <c r="C1986" i="1"/>
  <c r="C1993" i="1"/>
  <c r="C2031" i="1"/>
  <c r="C2035" i="1"/>
  <c r="C2039" i="1"/>
  <c r="C2043" i="1"/>
  <c r="C2102" i="1"/>
  <c r="C2116" i="1"/>
  <c r="C2183" i="1"/>
  <c r="C2191" i="1"/>
  <c r="C2195" i="1"/>
  <c r="C2324" i="1"/>
  <c r="C2332" i="1"/>
  <c r="C2340" i="1"/>
  <c r="C2356" i="1"/>
  <c r="C2364" i="1"/>
  <c r="C2380" i="1"/>
  <c r="C2388" i="1"/>
  <c r="C2396" i="1"/>
  <c r="C2404" i="1"/>
  <c r="C2443" i="1"/>
  <c r="C2447" i="1"/>
  <c r="C2478" i="1"/>
  <c r="C2484" i="1"/>
  <c r="C2510" i="1"/>
  <c r="C2514" i="1"/>
  <c r="C1056" i="1"/>
  <c r="C1067" i="1"/>
  <c r="C1114" i="1"/>
  <c r="C1161" i="1"/>
  <c r="C1165" i="1"/>
  <c r="C1178" i="1"/>
  <c r="C1189" i="1"/>
  <c r="C1228" i="1"/>
  <c r="C1244" i="1"/>
  <c r="C1249" i="1"/>
  <c r="C1267" i="1"/>
  <c r="C1272" i="1"/>
  <c r="C1294" i="1"/>
  <c r="C1298" i="1"/>
  <c r="C1317" i="1"/>
  <c r="C1387" i="1"/>
  <c r="C1399" i="1"/>
  <c r="C1403" i="1"/>
  <c r="C1422" i="1"/>
  <c r="C1426" i="1"/>
  <c r="C1559" i="1"/>
  <c r="C1615" i="1"/>
  <c r="C1619" i="1"/>
  <c r="C1627" i="1"/>
  <c r="C1638" i="1"/>
  <c r="C1651" i="1"/>
  <c r="C1669" i="1"/>
  <c r="C1677" i="1"/>
  <c r="C1697" i="1"/>
  <c r="C1708" i="1"/>
  <c r="C1717" i="1"/>
  <c r="C1743" i="1"/>
  <c r="C1766" i="1"/>
  <c r="C1771" i="1"/>
  <c r="C1805" i="1"/>
  <c r="C1879" i="1"/>
  <c r="C1884" i="1"/>
  <c r="C1900" i="1"/>
  <c r="C1903" i="1"/>
  <c r="C1911" i="1"/>
  <c r="C2010" i="1"/>
  <c r="C2055" i="1"/>
  <c r="C2059" i="1"/>
  <c r="C2063" i="1"/>
  <c r="C2082" i="1"/>
  <c r="C2090" i="1"/>
  <c r="C2101" i="1"/>
  <c r="C2106" i="1"/>
  <c r="C2124" i="1"/>
  <c r="C2132" i="1"/>
  <c r="C2140" i="1"/>
  <c r="C2156" i="1"/>
  <c r="C2164" i="1"/>
  <c r="C2207" i="1"/>
  <c r="C2211" i="1"/>
  <c r="C2215" i="1"/>
  <c r="C2219" i="1"/>
  <c r="C2231" i="1"/>
  <c r="C2239" i="1"/>
  <c r="C2243" i="1"/>
  <c r="C2255" i="1"/>
  <c r="C2259" i="1"/>
  <c r="C2267" i="1"/>
  <c r="C2279" i="1"/>
  <c r="C2283" i="1"/>
  <c r="C2290" i="1"/>
  <c r="C2298" i="1"/>
  <c r="C2318" i="1"/>
  <c r="C2420" i="1"/>
  <c r="C2428" i="1"/>
  <c r="C2477" i="1"/>
  <c r="C1210" i="1"/>
  <c r="C1288" i="1"/>
  <c r="C1364" i="1"/>
  <c r="C1368" i="1"/>
  <c r="C1380" i="1"/>
  <c r="C1438" i="1"/>
  <c r="C1442" i="1"/>
  <c r="C1466" i="1"/>
  <c r="C1497" i="1"/>
  <c r="C1518" i="1"/>
  <c r="C1545" i="1"/>
  <c r="C1563" i="1"/>
  <c r="C1604" i="1"/>
  <c r="C1609" i="1"/>
  <c r="C1685" i="1"/>
  <c r="C1721" i="1"/>
  <c r="C1751" i="1"/>
  <c r="C1759" i="1"/>
  <c r="C1782" i="1"/>
  <c r="C1790" i="1"/>
  <c r="C1798" i="1"/>
  <c r="C1803" i="1"/>
  <c r="C1829" i="1"/>
  <c r="C1876" i="1"/>
  <c r="C1927" i="1"/>
  <c r="C1935" i="1"/>
  <c r="C1951" i="1"/>
  <c r="C1955" i="1"/>
  <c r="C1970" i="1"/>
  <c r="C1978" i="1"/>
  <c r="C2334" i="1"/>
  <c r="C2342" i="1"/>
  <c r="C2358" i="1"/>
  <c r="C2366" i="1"/>
  <c r="C2382" i="1"/>
  <c r="C2386" i="1"/>
  <c r="C2406" i="1"/>
  <c r="C2436" i="1"/>
  <c r="C2494" i="1"/>
  <c r="C2511" i="1"/>
  <c r="C2213" i="1"/>
  <c r="C2212" i="1"/>
  <c r="C119" i="1"/>
  <c r="C176" i="1"/>
  <c r="C292" i="1"/>
  <c r="C296" i="1"/>
  <c r="C391" i="1"/>
  <c r="C1397" i="1"/>
  <c r="C1396" i="1"/>
  <c r="C10" i="1"/>
  <c r="C14" i="1"/>
  <c r="C35" i="1"/>
  <c r="C46" i="1"/>
  <c r="C60" i="1"/>
  <c r="C98" i="1"/>
  <c r="C123" i="1"/>
  <c r="C134" i="1"/>
  <c r="C141" i="1"/>
  <c r="C215" i="1"/>
  <c r="C225" i="1"/>
  <c r="C251" i="1"/>
  <c r="C259" i="1"/>
  <c r="C284" i="1"/>
  <c r="C318" i="1"/>
  <c r="C322" i="1"/>
  <c r="C343" i="1"/>
  <c r="C350" i="1"/>
  <c r="C402" i="1"/>
  <c r="C425" i="1"/>
  <c r="C435" i="1"/>
  <c r="C467" i="1"/>
  <c r="C484" i="1"/>
  <c r="C491" i="1"/>
  <c r="C502" i="1"/>
  <c r="C526" i="1"/>
  <c r="C581" i="1"/>
  <c r="C598" i="1"/>
  <c r="C611" i="1"/>
  <c r="C618" i="1"/>
  <c r="C629" i="1"/>
  <c r="C636" i="1"/>
  <c r="C653" i="1"/>
  <c r="C670" i="1"/>
  <c r="C744" i="1"/>
  <c r="C748" i="1"/>
  <c r="C752" i="1"/>
  <c r="C777" i="1"/>
  <c r="C1065" i="1"/>
  <c r="C1274" i="1"/>
  <c r="C1273" i="1"/>
  <c r="C32" i="1"/>
  <c r="C39" i="1"/>
  <c r="C71" i="1"/>
  <c r="C78" i="1"/>
  <c r="C95" i="1"/>
  <c r="C106" i="1"/>
  <c r="C131" i="1"/>
  <c r="C183" i="1"/>
  <c r="C194" i="1"/>
  <c r="C208" i="1"/>
  <c r="C244" i="1"/>
  <c r="C273" i="1"/>
  <c r="C288" i="1"/>
  <c r="C329" i="1"/>
  <c r="C336" i="1"/>
  <c r="C450" i="1"/>
  <c r="C471" i="1"/>
  <c r="C474" i="1"/>
  <c r="C495" i="1"/>
  <c r="C543" i="1"/>
  <c r="C546" i="1"/>
  <c r="C553" i="1"/>
  <c r="C615" i="1"/>
  <c r="C705" i="1"/>
  <c r="C730" i="1"/>
  <c r="C1602" i="1"/>
  <c r="C11" i="1"/>
  <c r="C18" i="1"/>
  <c r="C22" i="1"/>
  <c r="C43" i="1"/>
  <c r="C50" i="1"/>
  <c r="C54" i="1"/>
  <c r="C65" i="1"/>
  <c r="C92" i="1"/>
  <c r="C117" i="1"/>
  <c r="C124" i="1"/>
  <c r="C145" i="1"/>
  <c r="C162" i="1"/>
  <c r="C212" i="1"/>
  <c r="C226" i="1"/>
  <c r="C252" i="1"/>
  <c r="C263" i="1"/>
  <c r="C281" i="1"/>
  <c r="C396" i="1"/>
  <c r="C403" i="1"/>
  <c r="C418" i="1"/>
  <c r="C426" i="1"/>
  <c r="C499" i="1"/>
  <c r="C503" i="1"/>
  <c r="C626" i="1"/>
  <c r="C640" i="1"/>
  <c r="C647" i="1"/>
  <c r="C650" i="1"/>
  <c r="C688" i="1"/>
  <c r="C738" i="1"/>
  <c r="C749" i="1"/>
  <c r="C803" i="1"/>
  <c r="C855" i="1"/>
  <c r="C1032" i="1"/>
  <c r="C1180" i="1"/>
  <c r="C439" i="1"/>
  <c r="C438" i="1"/>
  <c r="C762" i="1"/>
  <c r="C763" i="1"/>
  <c r="C930" i="1"/>
  <c r="C929" i="1"/>
  <c r="C1420" i="1"/>
  <c r="C1419" i="1"/>
  <c r="C40" i="1"/>
  <c r="C79" i="1"/>
  <c r="C86" i="1"/>
  <c r="C149" i="1"/>
  <c r="C159" i="1"/>
  <c r="C170" i="1"/>
  <c r="C209" i="1"/>
  <c r="C234" i="1"/>
  <c r="C245" i="1"/>
  <c r="C274" i="1"/>
  <c r="C289" i="1"/>
  <c r="C297" i="1"/>
  <c r="C308" i="1"/>
  <c r="C337" i="1"/>
  <c r="C344" i="1"/>
  <c r="C374" i="1"/>
  <c r="C378" i="1"/>
  <c r="C411" i="1"/>
  <c r="C415" i="1"/>
  <c r="C430" i="1"/>
  <c r="C451" i="1"/>
  <c r="C458" i="1"/>
  <c r="C462" i="1"/>
  <c r="C496" i="1"/>
  <c r="C517" i="1"/>
  <c r="C527" i="1"/>
  <c r="C530" i="1"/>
  <c r="C534" i="1"/>
  <c r="C554" i="1"/>
  <c r="C565" i="1"/>
  <c r="C572" i="1"/>
  <c r="C589" i="1"/>
  <c r="C602" i="1"/>
  <c r="C606" i="1"/>
  <c r="C644" i="1"/>
  <c r="C661" i="1"/>
  <c r="C674" i="1"/>
  <c r="C678" i="1"/>
  <c r="C681" i="1"/>
  <c r="C710" i="1"/>
  <c r="C717" i="1"/>
  <c r="C753" i="1"/>
  <c r="C786" i="1"/>
  <c r="C792" i="1"/>
  <c r="C800" i="1"/>
  <c r="C818" i="1"/>
  <c r="C844" i="1"/>
  <c r="C852" i="1"/>
  <c r="C906" i="1"/>
  <c r="C905" i="1"/>
  <c r="C1138" i="1"/>
  <c r="C1137" i="1"/>
  <c r="C1410" i="1"/>
  <c r="C1469" i="1"/>
  <c r="C1468" i="1"/>
  <c r="C26" i="1"/>
  <c r="C51" i="1"/>
  <c r="C58" i="1"/>
  <c r="C76" i="1"/>
  <c r="C129" i="1"/>
  <c r="C156" i="1"/>
  <c r="C168" i="1"/>
  <c r="C188" i="1"/>
  <c r="C213" i="1"/>
  <c r="C282" i="1"/>
  <c r="C390" i="1"/>
  <c r="C397" i="1"/>
  <c r="C404" i="1"/>
  <c r="C420" i="1"/>
  <c r="C424" i="1"/>
  <c r="C437" i="1"/>
  <c r="C469" i="1"/>
  <c r="C482" i="1"/>
  <c r="C486" i="1"/>
  <c r="C489" i="1"/>
  <c r="C579" i="1"/>
  <c r="C613" i="1"/>
  <c r="C627" i="1"/>
  <c r="C631" i="1"/>
  <c r="C728" i="1"/>
  <c r="C771" i="1"/>
  <c r="C775" i="1"/>
  <c r="C841" i="1"/>
  <c r="C1042" i="1"/>
  <c r="C1041" i="1"/>
  <c r="C1170" i="1"/>
  <c r="C1169" i="1"/>
  <c r="C8" i="1"/>
  <c r="C13" i="1"/>
  <c r="C19" i="1"/>
  <c r="C30" i="1"/>
  <c r="C45" i="1"/>
  <c r="C56" i="1"/>
  <c r="C62" i="1"/>
  <c r="C69" i="1"/>
  <c r="C118" i="1"/>
  <c r="C164" i="1"/>
  <c r="C181" i="1"/>
  <c r="C223" i="1"/>
  <c r="C249" i="1"/>
  <c r="C16" i="1"/>
  <c r="C48" i="1"/>
  <c r="C55" i="1"/>
  <c r="C83" i="1"/>
  <c r="C87" i="1"/>
  <c r="C90" i="1"/>
  <c r="C112" i="1"/>
  <c r="C115" i="1"/>
  <c r="C143" i="1"/>
  <c r="C150" i="1"/>
  <c r="C220" i="1"/>
  <c r="C235" i="1"/>
  <c r="C261" i="1"/>
  <c r="C268" i="1"/>
  <c r="C275" i="1"/>
  <c r="C290" i="1"/>
  <c r="C295" i="1"/>
  <c r="C298" i="1"/>
  <c r="C306" i="1"/>
  <c r="C309" i="1"/>
  <c r="C368" i="1"/>
  <c r="C371" i="1"/>
  <c r="C376" i="1"/>
  <c r="C379" i="1"/>
  <c r="C384" i="1"/>
  <c r="C387" i="1"/>
  <c r="C412" i="1"/>
  <c r="C441" i="1"/>
  <c r="C518" i="1"/>
  <c r="C531" i="1"/>
  <c r="C548" i="1"/>
  <c r="C555" i="1"/>
  <c r="C562" i="1"/>
  <c r="C566" i="1"/>
  <c r="C573" i="1"/>
  <c r="C586" i="1"/>
  <c r="C590" i="1"/>
  <c r="C603" i="1"/>
  <c r="C624" i="1"/>
  <c r="C645" i="1"/>
  <c r="C655" i="1"/>
  <c r="C658" i="1"/>
  <c r="C662" i="1"/>
  <c r="C675" i="1"/>
  <c r="C682" i="1"/>
  <c r="C693" i="1"/>
  <c r="C707" i="1"/>
  <c r="C711" i="1"/>
  <c r="C721" i="1"/>
  <c r="C739" i="1"/>
  <c r="C779" i="1"/>
  <c r="C801" i="1"/>
  <c r="C804" i="1"/>
  <c r="C823" i="1"/>
  <c r="C827" i="1"/>
  <c r="C971" i="1"/>
  <c r="C970" i="1"/>
  <c r="C1492" i="1"/>
  <c r="C1522" i="1"/>
  <c r="C898" i="1"/>
  <c r="C926" i="1"/>
  <c r="C936" i="1"/>
  <c r="C940" i="1"/>
  <c r="C954" i="1"/>
  <c r="C978" i="1"/>
  <c r="C1022" i="1"/>
  <c r="C1055" i="1"/>
  <c r="C1141" i="1"/>
  <c r="C1148" i="1"/>
  <c r="C1205" i="1"/>
  <c r="C1212" i="1"/>
  <c r="C1230" i="1"/>
  <c r="C1331" i="1"/>
  <c r="C1439" i="1"/>
  <c r="C830" i="1"/>
  <c r="C837" i="1"/>
  <c r="C861" i="1"/>
  <c r="C875" i="1"/>
  <c r="C885" i="1"/>
  <c r="C892" i="1"/>
  <c r="C895" i="1"/>
  <c r="C909" i="1"/>
  <c r="C960" i="1"/>
  <c r="C964" i="1"/>
  <c r="C968" i="1"/>
  <c r="C988" i="1"/>
  <c r="C992" i="1"/>
  <c r="C1015" i="1"/>
  <c r="C1035" i="1"/>
  <c r="C1039" i="1"/>
  <c r="C1045" i="1"/>
  <c r="C1075" i="1"/>
  <c r="C1086" i="1"/>
  <c r="C1100" i="1"/>
  <c r="C1107" i="1"/>
  <c r="C1121" i="1"/>
  <c r="C1131" i="1"/>
  <c r="C1145" i="1"/>
  <c r="C1177" i="1"/>
  <c r="C1187" i="1"/>
  <c r="C1198" i="1"/>
  <c r="C1209" i="1"/>
  <c r="C1234" i="1"/>
  <c r="C1299" i="1"/>
  <c r="C1390" i="1"/>
  <c r="C1423" i="1"/>
  <c r="C1443" i="1"/>
  <c r="C865" i="1"/>
  <c r="C879" i="1"/>
  <c r="C903" i="1"/>
  <c r="C923" i="1"/>
  <c r="C927" i="1"/>
  <c r="C951" i="1"/>
  <c r="C975" i="1"/>
  <c r="C979" i="1"/>
  <c r="C982" i="1"/>
  <c r="C999" i="1"/>
  <c r="C1019" i="1"/>
  <c r="C1023" i="1"/>
  <c r="C1029" i="1"/>
  <c r="C1052" i="1"/>
  <c r="C1118" i="1"/>
  <c r="C1156" i="1"/>
  <c r="C1163" i="1"/>
  <c r="C1202" i="1"/>
  <c r="C1332" i="1"/>
  <c r="C1339" i="1"/>
  <c r="C1350" i="1"/>
  <c r="C1394" i="1"/>
  <c r="C1407" i="1"/>
  <c r="C1427" i="1"/>
  <c r="C1476" i="1"/>
  <c r="C1502" i="1"/>
  <c r="C1519" i="1"/>
  <c r="C1550" i="1"/>
  <c r="C1557" i="1"/>
  <c r="C1564" i="1"/>
  <c r="C1571" i="1"/>
  <c r="C701" i="1"/>
  <c r="C714" i="1"/>
  <c r="C718" i="1"/>
  <c r="C731" i="1"/>
  <c r="C735" i="1"/>
  <c r="C741" i="1"/>
  <c r="C755" i="1"/>
  <c r="C759" i="1"/>
  <c r="C783" i="1"/>
  <c r="C787" i="1"/>
  <c r="C790" i="1"/>
  <c r="C834" i="1"/>
  <c r="C858" i="1"/>
  <c r="C862" i="1"/>
  <c r="C872" i="1"/>
  <c r="C876" i="1"/>
  <c r="C890" i="1"/>
  <c r="C897" i="1"/>
  <c r="C914" i="1"/>
  <c r="C958" i="1"/>
  <c r="C965" i="1"/>
  <c r="C989" i="1"/>
  <c r="C996" i="1"/>
  <c r="C1008" i="1"/>
  <c r="C1012" i="1"/>
  <c r="C1036" i="1"/>
  <c r="C1059" i="1"/>
  <c r="C1069" i="1"/>
  <c r="C1076" i="1"/>
  <c r="C1083" i="1"/>
  <c r="C1094" i="1"/>
  <c r="C1101" i="1"/>
  <c r="C1108" i="1"/>
  <c r="C1115" i="1"/>
  <c r="C1125" i="1"/>
  <c r="C1235" i="1"/>
  <c r="C1300" i="1"/>
  <c r="C1307" i="1"/>
  <c r="C1318" i="1"/>
  <c r="C1411" i="1"/>
  <c r="C1486" i="1"/>
  <c r="C1516" i="1"/>
  <c r="C1523" i="1"/>
  <c r="C1589" i="1"/>
  <c r="C1603" i="1"/>
  <c r="C708" i="1"/>
  <c r="C725" i="1"/>
  <c r="C766" i="1"/>
  <c r="C773" i="1"/>
  <c r="C797" i="1"/>
  <c r="C811" i="1"/>
  <c r="C821" i="1"/>
  <c r="C845" i="1"/>
  <c r="C900" i="1"/>
  <c r="C904" i="1"/>
  <c r="C924" i="1"/>
  <c r="C928" i="1"/>
  <c r="C938" i="1"/>
  <c r="C948" i="1"/>
  <c r="C953" i="1"/>
  <c r="C972" i="1"/>
  <c r="C1020" i="1"/>
  <c r="C1043" i="1"/>
  <c r="C1132" i="1"/>
  <c r="C1139" i="1"/>
  <c r="C1150" i="1"/>
  <c r="C1164" i="1"/>
  <c r="C1171" i="1"/>
  <c r="C1203" i="1"/>
  <c r="C1208" i="1"/>
  <c r="C1268" i="1"/>
  <c r="C1275" i="1"/>
  <c r="C1280" i="1"/>
  <c r="C1286" i="1"/>
  <c r="C1333" i="1"/>
  <c r="C1340" i="1"/>
  <c r="C1347" i="1"/>
  <c r="C1358" i="1"/>
  <c r="C1371" i="1"/>
  <c r="C1395" i="1"/>
  <c r="C1465" i="1"/>
  <c r="C1470" i="1"/>
  <c r="C1503" i="1"/>
  <c r="C1582" i="1"/>
  <c r="C1700" i="1"/>
  <c r="C1701" i="1"/>
  <c r="C186" i="1"/>
  <c r="C190" i="1"/>
  <c r="C197" i="1"/>
  <c r="C204" i="1"/>
  <c r="C246" i="1"/>
  <c r="C257" i="1"/>
  <c r="C271" i="1"/>
  <c r="C278" i="1"/>
  <c r="C300" i="1"/>
  <c r="C315" i="1"/>
  <c r="C320" i="1"/>
  <c r="C323" i="1"/>
  <c r="C340" i="1"/>
  <c r="C347" i="1"/>
  <c r="C351" i="1"/>
  <c r="C385" i="1"/>
  <c r="C399" i="1"/>
  <c r="C406" i="1"/>
  <c r="C428" i="1"/>
  <c r="C452" i="1"/>
  <c r="C459" i="1"/>
  <c r="C476" i="1"/>
  <c r="C493" i="1"/>
  <c r="C506" i="1"/>
  <c r="C510" i="1"/>
  <c r="C523" i="1"/>
  <c r="C540" i="1"/>
  <c r="C557" i="1"/>
  <c r="C570" i="1"/>
  <c r="C574" i="1"/>
  <c r="C587" i="1"/>
  <c r="C604" i="1"/>
  <c r="C621" i="1"/>
  <c r="C634" i="1"/>
  <c r="C638" i="1"/>
  <c r="C651" i="1"/>
  <c r="C668" i="1"/>
  <c r="C685" i="1"/>
  <c r="C698" i="1"/>
  <c r="C702" i="1"/>
  <c r="C715" i="1"/>
  <c r="C732" i="1"/>
  <c r="C736" i="1"/>
  <c r="C746" i="1"/>
  <c r="C756" i="1"/>
  <c r="C761" i="1"/>
  <c r="C780" i="1"/>
  <c r="C815" i="1"/>
  <c r="C835" i="1"/>
  <c r="C839" i="1"/>
  <c r="C859" i="1"/>
  <c r="C863" i="1"/>
  <c r="C869" i="1"/>
  <c r="C883" i="1"/>
  <c r="C887" i="1"/>
  <c r="C911" i="1"/>
  <c r="C915" i="1"/>
  <c r="C918" i="1"/>
  <c r="C962" i="1"/>
  <c r="C986" i="1"/>
  <c r="C990" i="1"/>
  <c r="C1003" i="1"/>
  <c r="C1006" i="1"/>
  <c r="C1013" i="1"/>
  <c r="C1027" i="1"/>
  <c r="C1047" i="1"/>
  <c r="C1077" i="1"/>
  <c r="C1084" i="1"/>
  <c r="C1091" i="1"/>
  <c r="C1182" i="1"/>
  <c r="C1236" i="1"/>
  <c r="C1243" i="1"/>
  <c r="C1248" i="1"/>
  <c r="C1254" i="1"/>
  <c r="C1301" i="1"/>
  <c r="C1308" i="1"/>
  <c r="C1315" i="1"/>
  <c r="C1326" i="1"/>
  <c r="C1379" i="1"/>
  <c r="C1449" i="1"/>
  <c r="C1454" i="1"/>
  <c r="C1487" i="1"/>
  <c r="C1507" i="1"/>
  <c r="C1534" i="1"/>
  <c r="C1541" i="1"/>
  <c r="C1548" i="1"/>
  <c r="C1555" i="1"/>
  <c r="C1612" i="1"/>
  <c r="C1643" i="1"/>
  <c r="C1657" i="1"/>
  <c r="C1683" i="1"/>
  <c r="C1705" i="1"/>
  <c r="C1789" i="1"/>
  <c r="C1788" i="1"/>
  <c r="C2030" i="1"/>
  <c r="C2029" i="1"/>
  <c r="C1618" i="1"/>
  <c r="C1665" i="1"/>
  <c r="C1668" i="1"/>
  <c r="C1713" i="1"/>
  <c r="C2054" i="1"/>
  <c r="C2053" i="1"/>
  <c r="C2206" i="1"/>
  <c r="C2205" i="1"/>
  <c r="C1646" i="1"/>
  <c r="C1725" i="1"/>
  <c r="C1724" i="1"/>
  <c r="C1732" i="1"/>
  <c r="C1926" i="1"/>
  <c r="C1925" i="1"/>
  <c r="C1989" i="1"/>
  <c r="C1988" i="1"/>
  <c r="C1661" i="1"/>
  <c r="C1821" i="1"/>
  <c r="C1820" i="1"/>
  <c r="C1828" i="1"/>
  <c r="C1535" i="1"/>
  <c r="C1551" i="1"/>
  <c r="C1567" i="1"/>
  <c r="C1583" i="1"/>
  <c r="C1599" i="1"/>
  <c r="C1622" i="1"/>
  <c r="C1647" i="1"/>
  <c r="C1687" i="1"/>
  <c r="C1954" i="1"/>
  <c r="C2020" i="1"/>
  <c r="C1617" i="1"/>
  <c r="C1667" i="1"/>
  <c r="C1695" i="1"/>
  <c r="C1757" i="1"/>
  <c r="C1756" i="1"/>
  <c r="C1764" i="1"/>
  <c r="C2006" i="1"/>
  <c r="C2005" i="1"/>
  <c r="C1188" i="1"/>
  <c r="C1195" i="1"/>
  <c r="C1200" i="1"/>
  <c r="C1206" i="1"/>
  <c r="C1220" i="1"/>
  <c r="C1227" i="1"/>
  <c r="C1232" i="1"/>
  <c r="C1238" i="1"/>
  <c r="C1252" i="1"/>
  <c r="C1259" i="1"/>
  <c r="C1264" i="1"/>
  <c r="C1270" i="1"/>
  <c r="C1284" i="1"/>
  <c r="C1291" i="1"/>
  <c r="C1296" i="1"/>
  <c r="C1302" i="1"/>
  <c r="C1316" i="1"/>
  <c r="C1323" i="1"/>
  <c r="C1328" i="1"/>
  <c r="C1334" i="1"/>
  <c r="C1348" i="1"/>
  <c r="C1355" i="1"/>
  <c r="C1360" i="1"/>
  <c r="C1366" i="1"/>
  <c r="C1369" i="1"/>
  <c r="C1398" i="1"/>
  <c r="C1414" i="1"/>
  <c r="C1430" i="1"/>
  <c r="C1440" i="1"/>
  <c r="C1446" i="1"/>
  <c r="C1456" i="1"/>
  <c r="C1462" i="1"/>
  <c r="C1473" i="1"/>
  <c r="C1478" i="1"/>
  <c r="C1489" i="1"/>
  <c r="C1494" i="1"/>
  <c r="C1505" i="1"/>
  <c r="C1510" i="1"/>
  <c r="C1521" i="1"/>
  <c r="C1526" i="1"/>
  <c r="C1537" i="1"/>
  <c r="C1542" i="1"/>
  <c r="C1553" i="1"/>
  <c r="C1558" i="1"/>
  <c r="C1569" i="1"/>
  <c r="C1574" i="1"/>
  <c r="C1585" i="1"/>
  <c r="C1590" i="1"/>
  <c r="C1601" i="1"/>
  <c r="C1606" i="1"/>
  <c r="C1610" i="1"/>
  <c r="C1623" i="1"/>
  <c r="C1630" i="1"/>
  <c r="C1635" i="1"/>
  <c r="C1649" i="1"/>
  <c r="C1655" i="1"/>
  <c r="C1670" i="1"/>
  <c r="C1675" i="1"/>
  <c r="C1689" i="1"/>
  <c r="C1692" i="1"/>
  <c r="C1939" i="1"/>
  <c r="C1940" i="1"/>
  <c r="C2037" i="1"/>
  <c r="C2036" i="1"/>
  <c r="C2067" i="1"/>
  <c r="C2068" i="1"/>
  <c r="C1870" i="1"/>
  <c r="C1880" i="1"/>
  <c r="C1915" i="1"/>
  <c r="C1936" i="1"/>
  <c r="C1958" i="1"/>
  <c r="C1968" i="1"/>
  <c r="C1999" i="1"/>
  <c r="C2023" i="1"/>
  <c r="C2047" i="1"/>
  <c r="C2075" i="1"/>
  <c r="C2085" i="1"/>
  <c r="C2099" i="1"/>
  <c r="C2110" i="1"/>
  <c r="C2123" i="1"/>
  <c r="C2133" i="1"/>
  <c r="C2157" i="1"/>
  <c r="C2171" i="1"/>
  <c r="C2181" i="1"/>
  <c r="C2199" i="1"/>
  <c r="C2229" i="1"/>
  <c r="C2271" i="1"/>
  <c r="C2286" i="1"/>
  <c r="C2295" i="1"/>
  <c r="C2310" i="1"/>
  <c r="C2333" i="1"/>
  <c r="C2357" i="1"/>
  <c r="C2399" i="1"/>
  <c r="C2414" i="1"/>
  <c r="C2423" i="1"/>
  <c r="C2438" i="1"/>
  <c r="C2451" i="1"/>
  <c r="C2461" i="1"/>
  <c r="C2468" i="1"/>
  <c r="C2475" i="1"/>
  <c r="C2486" i="1"/>
  <c r="C2499" i="1"/>
  <c r="C1703" i="1"/>
  <c r="C1710" i="1"/>
  <c r="C1715" i="1"/>
  <c r="C1729" i="1"/>
  <c r="C1735" i="1"/>
  <c r="C1742" i="1"/>
  <c r="C1747" i="1"/>
  <c r="C1761" i="1"/>
  <c r="C1767" i="1"/>
  <c r="C1774" i="1"/>
  <c r="C1779" i="1"/>
  <c r="C1793" i="1"/>
  <c r="C1799" i="1"/>
  <c r="C1806" i="1"/>
  <c r="C1811" i="1"/>
  <c r="C1825" i="1"/>
  <c r="C1831" i="1"/>
  <c r="C1838" i="1"/>
  <c r="C1842" i="1"/>
  <c r="C1846" i="1"/>
  <c r="C1856" i="1"/>
  <c r="C1863" i="1"/>
  <c r="C1868" i="1"/>
  <c r="C1874" i="1"/>
  <c r="C1877" i="1"/>
  <c r="C1904" i="1"/>
  <c r="C1912" i="1"/>
  <c r="C1919" i="1"/>
  <c r="C1934" i="1"/>
  <c r="C1943" i="1"/>
  <c r="C1957" i="1"/>
  <c r="C1975" i="1"/>
  <c r="C1990" i="1"/>
  <c r="C2003" i="1"/>
  <c r="C2014" i="1"/>
  <c r="C2027" i="1"/>
  <c r="C2038" i="1"/>
  <c r="C2051" i="1"/>
  <c r="C2062" i="1"/>
  <c r="C2079" i="1"/>
  <c r="C2127" i="1"/>
  <c r="C2151" i="1"/>
  <c r="C2175" i="1"/>
  <c r="C2203" i="1"/>
  <c r="C2214" i="1"/>
  <c r="C2223" i="1"/>
  <c r="C2247" i="1"/>
  <c r="C2262" i="1"/>
  <c r="C2275" i="1"/>
  <c r="C2292" i="1"/>
  <c r="C2299" i="1"/>
  <c r="C2316" i="1"/>
  <c r="C2327" i="1"/>
  <c r="C2351" i="1"/>
  <c r="C2375" i="1"/>
  <c r="C2390" i="1"/>
  <c r="C2403" i="1"/>
  <c r="C2413" i="1"/>
  <c r="C2427" i="1"/>
  <c r="C2437" i="1"/>
  <c r="C2444" i="1"/>
  <c r="C2455" i="1"/>
  <c r="C2492" i="1"/>
  <c r="C2513" i="1"/>
  <c r="C1923" i="1"/>
  <c r="C1947" i="1"/>
  <c r="C1966" i="1"/>
  <c r="C1972" i="1"/>
  <c r="C1979" i="1"/>
  <c r="C1996" i="1"/>
  <c r="C2044" i="1"/>
  <c r="C2083" i="1"/>
  <c r="C2131" i="1"/>
  <c r="C2142" i="1"/>
  <c r="C2148" i="1"/>
  <c r="C2155" i="1"/>
  <c r="C2179" i="1"/>
  <c r="C2190" i="1"/>
  <c r="C2196" i="1"/>
  <c r="C2220" i="1"/>
  <c r="C2227" i="1"/>
  <c r="C2238" i="1"/>
  <c r="C2244" i="1"/>
  <c r="C2251" i="1"/>
  <c r="C2331" i="1"/>
  <c r="C2348" i="1"/>
  <c r="C2355" i="1"/>
  <c r="C2372" i="1"/>
  <c r="C2379" i="1"/>
  <c r="C2459" i="1"/>
  <c r="C1723" i="1"/>
  <c r="C1737" i="1"/>
  <c r="C1755" i="1"/>
  <c r="C1787" i="1"/>
  <c r="C1819" i="1"/>
  <c r="C2022" i="1"/>
  <c r="C2070" i="1"/>
  <c r="C2093" i="1"/>
  <c r="C2165" i="1"/>
  <c r="C2270" i="1"/>
  <c r="C2294" i="1"/>
  <c r="C2398" i="1"/>
  <c r="C2422" i="1"/>
  <c r="C1918" i="1"/>
  <c r="C1942" i="1"/>
  <c r="C1974" i="1"/>
  <c r="C1998" i="1"/>
  <c r="C2046" i="1"/>
  <c r="C2150" i="1"/>
  <c r="C2198" i="1"/>
  <c r="C2222" i="1"/>
  <c r="C2246" i="1"/>
  <c r="C2269" i="1"/>
  <c r="C2293" i="1"/>
  <c r="C2335" i="1"/>
  <c r="C2350" i="1"/>
  <c r="C2359" i="1"/>
  <c r="C2374" i="1"/>
  <c r="C2387" i="1"/>
  <c r="C2397" i="1"/>
  <c r="C2421" i="1"/>
  <c r="C2463" i="1"/>
  <c r="C1731" i="1"/>
  <c r="C1745" i="1"/>
  <c r="C1763" i="1"/>
  <c r="C1777" i="1"/>
  <c r="C1795" i="1"/>
  <c r="C1809" i="1"/>
  <c r="C1827" i="1"/>
  <c r="C1840" i="1"/>
  <c r="C1855" i="1"/>
  <c r="C1865" i="1"/>
  <c r="C1895" i="1"/>
  <c r="C1906" i="1"/>
  <c r="C1917" i="1"/>
  <c r="C1931" i="1"/>
  <c r="C1941" i="1"/>
  <c r="C1973" i="1"/>
  <c r="C2078" i="1"/>
  <c r="C2091" i="1"/>
  <c r="C2115" i="1"/>
  <c r="C2118" i="1"/>
  <c r="C2126" i="1"/>
  <c r="C2139" i="1"/>
  <c r="C2149" i="1"/>
  <c r="C2163" i="1"/>
  <c r="C2174" i="1"/>
  <c r="C2187" i="1"/>
  <c r="C2221" i="1"/>
  <c r="C2235" i="1"/>
  <c r="C2245" i="1"/>
  <c r="C2263" i="1"/>
  <c r="C2287" i="1"/>
  <c r="C2311" i="1"/>
  <c r="C2326" i="1"/>
  <c r="C2339" i="1"/>
  <c r="C2349" i="1"/>
  <c r="C2363" i="1"/>
  <c r="C2373" i="1"/>
  <c r="C2391" i="1"/>
  <c r="C2415" i="1"/>
  <c r="C2439" i="1"/>
  <c r="C2454" i="1"/>
  <c r="C2460" i="1"/>
  <c r="C2467" i="1"/>
  <c r="C2487" i="1"/>
  <c r="C977" i="1"/>
  <c r="C976" i="1"/>
  <c r="C1176" i="1"/>
  <c r="C1175" i="1"/>
  <c r="C6" i="1"/>
  <c r="C12" i="1"/>
  <c r="C20" i="1"/>
  <c r="C28" i="1"/>
  <c r="C36" i="1"/>
  <c r="C44" i="1"/>
  <c r="C52" i="1"/>
  <c r="C63" i="1"/>
  <c r="C74" i="1"/>
  <c r="C99" i="1"/>
  <c r="C102" i="1"/>
  <c r="C113" i="1"/>
  <c r="C127" i="1"/>
  <c r="C138" i="1"/>
  <c r="C163" i="1"/>
  <c r="C166" i="1"/>
  <c r="C177" i="1"/>
  <c r="C191" i="1"/>
  <c r="C202" i="1"/>
  <c r="C227" i="1"/>
  <c r="C230" i="1"/>
  <c r="C241" i="1"/>
  <c r="C255" i="1"/>
  <c r="C266" i="1"/>
  <c r="C291" i="1"/>
  <c r="C294" i="1"/>
  <c r="C305" i="1"/>
  <c r="C319" i="1"/>
  <c r="C330" i="1"/>
  <c r="C355" i="1"/>
  <c r="C358" i="1"/>
  <c r="C369" i="1"/>
  <c r="C383" i="1"/>
  <c r="C394" i="1"/>
  <c r="C419" i="1"/>
  <c r="C422" i="1"/>
  <c r="C742" i="1"/>
  <c r="C743" i="1"/>
  <c r="C785" i="1"/>
  <c r="C784" i="1"/>
  <c r="C934" i="1"/>
  <c r="C935" i="1"/>
  <c r="C311" i="1"/>
  <c r="C375" i="1"/>
  <c r="C453" i="1"/>
  <c r="C483" i="1"/>
  <c r="C500" i="1"/>
  <c r="C547" i="1"/>
  <c r="C564" i="1"/>
  <c r="C628" i="1"/>
  <c r="C692" i="1"/>
  <c r="C949" i="1"/>
  <c r="C61" i="1"/>
  <c r="C111" i="1"/>
  <c r="C125" i="1"/>
  <c r="C175" i="1"/>
  <c r="C189" i="1"/>
  <c r="C239" i="1"/>
  <c r="C253" i="1"/>
  <c r="C303" i="1"/>
  <c r="C317" i="1"/>
  <c r="C367" i="1"/>
  <c r="C381" i="1"/>
  <c r="C447" i="1"/>
  <c r="C460" i="1"/>
  <c r="C477" i="1"/>
  <c r="C507" i="1"/>
  <c r="C524" i="1"/>
  <c r="C588" i="1"/>
  <c r="C652" i="1"/>
  <c r="C716" i="1"/>
  <c r="C757" i="1"/>
  <c r="C860" i="1"/>
  <c r="C870" i="1"/>
  <c r="C871" i="1"/>
  <c r="C913" i="1"/>
  <c r="C912" i="1"/>
  <c r="C963" i="1"/>
  <c r="C444" i="1"/>
  <c r="C109" i="1"/>
  <c r="C173" i="1"/>
  <c r="C237" i="1"/>
  <c r="C301" i="1"/>
  <c r="C365" i="1"/>
  <c r="C700" i="1"/>
  <c r="C1112" i="1"/>
  <c r="C1111" i="1"/>
  <c r="C101" i="1"/>
  <c r="C165" i="1"/>
  <c r="C229" i="1"/>
  <c r="C293" i="1"/>
  <c r="C357" i="1"/>
  <c r="C421" i="1"/>
  <c r="C445" i="1"/>
  <c r="C468" i="1"/>
  <c r="C485" i="1"/>
  <c r="C515" i="1"/>
  <c r="C532" i="1"/>
  <c r="C596" i="1"/>
  <c r="C660" i="1"/>
  <c r="C724" i="1"/>
  <c r="C796" i="1"/>
  <c r="C806" i="1"/>
  <c r="C807" i="1"/>
  <c r="C849" i="1"/>
  <c r="C848" i="1"/>
  <c r="C899" i="1"/>
  <c r="C93" i="1"/>
  <c r="C157" i="1"/>
  <c r="C221" i="1"/>
  <c r="C285" i="1"/>
  <c r="C349" i="1"/>
  <c r="C413" i="1"/>
  <c r="C436" i="1"/>
  <c r="C455" i="1"/>
  <c r="C475" i="1"/>
  <c r="C492" i="1"/>
  <c r="C509" i="1"/>
  <c r="C539" i="1"/>
  <c r="C556" i="1"/>
  <c r="C620" i="1"/>
  <c r="C684" i="1"/>
  <c r="C1017" i="1"/>
  <c r="C1016" i="1"/>
  <c r="C745" i="1"/>
  <c r="C809" i="1"/>
  <c r="C873" i="1"/>
  <c r="C937" i="1"/>
  <c r="C1072" i="1"/>
  <c r="C1071" i="1"/>
  <c r="C1136" i="1"/>
  <c r="C1135" i="1"/>
  <c r="C1078" i="1"/>
  <c r="C1096" i="1"/>
  <c r="C1095" i="1"/>
  <c r="C1142" i="1"/>
  <c r="C1160" i="1"/>
  <c r="C1159" i="1"/>
  <c r="C782" i="1"/>
  <c r="C846" i="1"/>
  <c r="C910" i="1"/>
  <c r="C974" i="1"/>
  <c r="C1011" i="1"/>
  <c r="C1014" i="1"/>
  <c r="C1085" i="1"/>
  <c r="C1102" i="1"/>
  <c r="C1120" i="1"/>
  <c r="C1119" i="1"/>
  <c r="C1149" i="1"/>
  <c r="C1166" i="1"/>
  <c r="C1190" i="1"/>
  <c r="C1197" i="1"/>
  <c r="C1229" i="1"/>
  <c r="C1261" i="1"/>
  <c r="C1293" i="1"/>
  <c r="C1325" i="1"/>
  <c r="C1357" i="1"/>
  <c r="C760" i="1"/>
  <c r="C774" i="1"/>
  <c r="C824" i="1"/>
  <c r="C838" i="1"/>
  <c r="C888" i="1"/>
  <c r="C902" i="1"/>
  <c r="C952" i="1"/>
  <c r="C966" i="1"/>
  <c r="C1030" i="1"/>
  <c r="C1046" i="1"/>
  <c r="C1062" i="1"/>
  <c r="C1080" i="1"/>
  <c r="C1079" i="1"/>
  <c r="C1109" i="1"/>
  <c r="C1126" i="1"/>
  <c r="C1144" i="1"/>
  <c r="C1143" i="1"/>
  <c r="C1173" i="1"/>
  <c r="C1104" i="1"/>
  <c r="C1103" i="1"/>
  <c r="C1168" i="1"/>
  <c r="C1167" i="1"/>
  <c r="C758" i="1"/>
  <c r="C822" i="1"/>
  <c r="C886" i="1"/>
  <c r="C950" i="1"/>
  <c r="C1021" i="1"/>
  <c r="C1037" i="1"/>
  <c r="C1053" i="1"/>
  <c r="C1064" i="1"/>
  <c r="C1063" i="1"/>
  <c r="C1093" i="1"/>
  <c r="C1110" i="1"/>
  <c r="C1128" i="1"/>
  <c r="C1127" i="1"/>
  <c r="C1157" i="1"/>
  <c r="C1174" i="1"/>
  <c r="C750" i="1"/>
  <c r="C814" i="1"/>
  <c r="C878" i="1"/>
  <c r="C942" i="1"/>
  <c r="C995" i="1"/>
  <c r="C998" i="1"/>
  <c r="C1070" i="1"/>
  <c r="C1088" i="1"/>
  <c r="C1087" i="1"/>
  <c r="C1117" i="1"/>
  <c r="C1134" i="1"/>
  <c r="C1152" i="1"/>
  <c r="C1151" i="1"/>
  <c r="C1181" i="1"/>
  <c r="C1213" i="1"/>
  <c r="C1245" i="1"/>
  <c r="C1277" i="1"/>
  <c r="C1309" i="1"/>
  <c r="C1341" i="1"/>
  <c r="C1183" i="1"/>
  <c r="C1191" i="1"/>
  <c r="C1199" i="1"/>
  <c r="C1207" i="1"/>
  <c r="C1215" i="1"/>
  <c r="C1223" i="1"/>
  <c r="C1231" i="1"/>
  <c r="C1239" i="1"/>
  <c r="C1247" i="1"/>
  <c r="C1255" i="1"/>
  <c r="C1263" i="1"/>
  <c r="C1271" i="1"/>
  <c r="C1279" i="1"/>
  <c r="C1287" i="1"/>
  <c r="C1295" i="1"/>
  <c r="C1303" i="1"/>
  <c r="C1311" i="1"/>
  <c r="C1319" i="1"/>
  <c r="C1327" i="1"/>
  <c r="C1335" i="1"/>
  <c r="C1343" i="1"/>
  <c r="C1351" i="1"/>
  <c r="C1359" i="1"/>
  <c r="C1362" i="1"/>
  <c r="C1374" i="1"/>
  <c r="C1384" i="1"/>
  <c r="C1400" i="1"/>
  <c r="C1375" i="1"/>
  <c r="C1385" i="1"/>
  <c r="C1391" i="1"/>
  <c r="C1401" i="1"/>
  <c r="C1417" i="1"/>
  <c r="C1433" i="1"/>
  <c r="C1361" i="1"/>
  <c r="C1376" i="1"/>
  <c r="C1382" i="1"/>
  <c r="C1392" i="1"/>
  <c r="C1408" i="1"/>
  <c r="C1424" i="1"/>
  <c r="C1867" i="1"/>
  <c r="C2040" i="1"/>
  <c r="C2041" i="1"/>
  <c r="C2104" i="1"/>
  <c r="C2105" i="1"/>
  <c r="C2168" i="1"/>
  <c r="C2169" i="1"/>
  <c r="C2232" i="1"/>
  <c r="C2233" i="1"/>
  <c r="C2296" i="1"/>
  <c r="C2297" i="1"/>
  <c r="C2360" i="1"/>
  <c r="C2361" i="1"/>
  <c r="C2424" i="1"/>
  <c r="C2425" i="1"/>
  <c r="C2488" i="1"/>
  <c r="C2489" i="1"/>
  <c r="C1626" i="1"/>
  <c r="C1634" i="1"/>
  <c r="C1642" i="1"/>
  <c r="C1650" i="1"/>
  <c r="C1658" i="1"/>
  <c r="C1666" i="1"/>
  <c r="C1674" i="1"/>
  <c r="C1682" i="1"/>
  <c r="C1690" i="1"/>
  <c r="C1698" i="1"/>
  <c r="C1706" i="1"/>
  <c r="C1714" i="1"/>
  <c r="C1722" i="1"/>
  <c r="C1730" i="1"/>
  <c r="C1738" i="1"/>
  <c r="C1746" i="1"/>
  <c r="C1754" i="1"/>
  <c r="C1762" i="1"/>
  <c r="C1770" i="1"/>
  <c r="C1778" i="1"/>
  <c r="C1786" i="1"/>
  <c r="C1794" i="1"/>
  <c r="C1802" i="1"/>
  <c r="C1810" i="1"/>
  <c r="C1818" i="1"/>
  <c r="C1826" i="1"/>
  <c r="C1834" i="1"/>
  <c r="C1859" i="1"/>
  <c r="C1894" i="1"/>
  <c r="C1897" i="1"/>
  <c r="C2000" i="1"/>
  <c r="C2001" i="1"/>
  <c r="C2013" i="1"/>
  <c r="C2064" i="1"/>
  <c r="C2065" i="1"/>
  <c r="C2077" i="1"/>
  <c r="C2128" i="1"/>
  <c r="C2129" i="1"/>
  <c r="C2141" i="1"/>
  <c r="C2192" i="1"/>
  <c r="C2193" i="1"/>
  <c r="C2256" i="1"/>
  <c r="C2257" i="1"/>
  <c r="C2320" i="1"/>
  <c r="C2321" i="1"/>
  <c r="C2384" i="1"/>
  <c r="C2385" i="1"/>
  <c r="C2448" i="1"/>
  <c r="C2449" i="1"/>
  <c r="C2024" i="1"/>
  <c r="C2025" i="1"/>
  <c r="C2088" i="1"/>
  <c r="C2089" i="1"/>
  <c r="C2152" i="1"/>
  <c r="C2153" i="1"/>
  <c r="C2216" i="1"/>
  <c r="C2217" i="1"/>
  <c r="C2280" i="1"/>
  <c r="C2281" i="1"/>
  <c r="C2344" i="1"/>
  <c r="C2345" i="1"/>
  <c r="C2408" i="1"/>
  <c r="C2409" i="1"/>
  <c r="C2472" i="1"/>
  <c r="C2473" i="1"/>
  <c r="C1448" i="1"/>
  <c r="C1464" i="1"/>
  <c r="C1472" i="1"/>
  <c r="C1480" i="1"/>
  <c r="C1488" i="1"/>
  <c r="C1496" i="1"/>
  <c r="C1504" i="1"/>
  <c r="C1512" i="1"/>
  <c r="C1520" i="1"/>
  <c r="C1528" i="1"/>
  <c r="C1536" i="1"/>
  <c r="C1544" i="1"/>
  <c r="C1552" i="1"/>
  <c r="C1560" i="1"/>
  <c r="C1568" i="1"/>
  <c r="C1576" i="1"/>
  <c r="C1584" i="1"/>
  <c r="C1592" i="1"/>
  <c r="C1600" i="1"/>
  <c r="C1608" i="1"/>
  <c r="C1616" i="1"/>
  <c r="C1624" i="1"/>
  <c r="C1632" i="1"/>
  <c r="C1640" i="1"/>
  <c r="C1648" i="1"/>
  <c r="C1656" i="1"/>
  <c r="C1664" i="1"/>
  <c r="C1672" i="1"/>
  <c r="C1680" i="1"/>
  <c r="C1688" i="1"/>
  <c r="C1696" i="1"/>
  <c r="C1704" i="1"/>
  <c r="C1712" i="1"/>
  <c r="C1720" i="1"/>
  <c r="C1728" i="1"/>
  <c r="C1736" i="1"/>
  <c r="C1744" i="1"/>
  <c r="C1752" i="1"/>
  <c r="C1760" i="1"/>
  <c r="C1768" i="1"/>
  <c r="C1776" i="1"/>
  <c r="C1784" i="1"/>
  <c r="C1792" i="1"/>
  <c r="C1800" i="1"/>
  <c r="C1808" i="1"/>
  <c r="C1816" i="1"/>
  <c r="C1824" i="1"/>
  <c r="C1832" i="1"/>
  <c r="C1843" i="1"/>
  <c r="C1854" i="1"/>
  <c r="C1857" i="1"/>
  <c r="C1907" i="1"/>
  <c r="C1910" i="1"/>
  <c r="C1913" i="1"/>
  <c r="C1916" i="1"/>
  <c r="C1929" i="1"/>
  <c r="C1932" i="1"/>
  <c r="C1945" i="1"/>
  <c r="C1948" i="1"/>
  <c r="C1961" i="1"/>
  <c r="C1964" i="1"/>
  <c r="C1984" i="1"/>
  <c r="C1997" i="1"/>
  <c r="C2048" i="1"/>
  <c r="C2049" i="1"/>
  <c r="C2061" i="1"/>
  <c r="C2112" i="1"/>
  <c r="C2113" i="1"/>
  <c r="C2125" i="1"/>
  <c r="C2176" i="1"/>
  <c r="C2177" i="1"/>
  <c r="C2189" i="1"/>
  <c r="C2240" i="1"/>
  <c r="C2241" i="1"/>
  <c r="C2253" i="1"/>
  <c r="C2304" i="1"/>
  <c r="C2305" i="1"/>
  <c r="C2317" i="1"/>
  <c r="C2368" i="1"/>
  <c r="C2369" i="1"/>
  <c r="C2381" i="1"/>
  <c r="C2432" i="1"/>
  <c r="C2433" i="1"/>
  <c r="C2445" i="1"/>
  <c r="C2496" i="1"/>
  <c r="C2497" i="1"/>
  <c r="C1849" i="1"/>
  <c r="C1883" i="1"/>
  <c r="C1886" i="1"/>
  <c r="C1889" i="1"/>
  <c r="C1892" i="1"/>
  <c r="C2008" i="1"/>
  <c r="C2009" i="1"/>
  <c r="C2072" i="1"/>
  <c r="C2073" i="1"/>
  <c r="C2136" i="1"/>
  <c r="C2137" i="1"/>
  <c r="C2200" i="1"/>
  <c r="C2201" i="1"/>
  <c r="C2264" i="1"/>
  <c r="C2265" i="1"/>
  <c r="C2277" i="1"/>
  <c r="C2328" i="1"/>
  <c r="C2329" i="1"/>
  <c r="C2341" i="1"/>
  <c r="C2392" i="1"/>
  <c r="C2393" i="1"/>
  <c r="C2405" i="1"/>
  <c r="C2456" i="1"/>
  <c r="C2457" i="1"/>
  <c r="C1841" i="1"/>
  <c r="C1981" i="1"/>
  <c r="C1985" i="1"/>
  <c r="C2032" i="1"/>
  <c r="C2033" i="1"/>
  <c r="C2045" i="1"/>
  <c r="C2096" i="1"/>
  <c r="C2097" i="1"/>
  <c r="C2109" i="1"/>
  <c r="C2160" i="1"/>
  <c r="C2161" i="1"/>
  <c r="C2173" i="1"/>
  <c r="C2224" i="1"/>
  <c r="C2225" i="1"/>
  <c r="C2237" i="1"/>
  <c r="C2288" i="1"/>
  <c r="C2289" i="1"/>
  <c r="C2301" i="1"/>
  <c r="C2352" i="1"/>
  <c r="C2353" i="1"/>
  <c r="C2365" i="1"/>
  <c r="C2416" i="1"/>
  <c r="C2417" i="1"/>
  <c r="C2429" i="1"/>
  <c r="C2480" i="1"/>
  <c r="C2481" i="1"/>
  <c r="C2493" i="1"/>
  <c r="C1858" i="1"/>
  <c r="C1899" i="1"/>
  <c r="C1902" i="1"/>
  <c r="C1905" i="1"/>
  <c r="C1908" i="1"/>
  <c r="C1949" i="1"/>
  <c r="C1965" i="1"/>
  <c r="C1992" i="1"/>
  <c r="C2056" i="1"/>
  <c r="C2057" i="1"/>
  <c r="C2069" i="1"/>
  <c r="C2120" i="1"/>
  <c r="C2121" i="1"/>
  <c r="C2184" i="1"/>
  <c r="C2185" i="1"/>
  <c r="C2197" i="1"/>
  <c r="C2248" i="1"/>
  <c r="C2249" i="1"/>
  <c r="C2261" i="1"/>
  <c r="C2312" i="1"/>
  <c r="C2313" i="1"/>
  <c r="C2325" i="1"/>
  <c r="C2376" i="1"/>
  <c r="C2377" i="1"/>
  <c r="C2389" i="1"/>
  <c r="C2440" i="1"/>
  <c r="C2441" i="1"/>
  <c r="C2453" i="1"/>
  <c r="C2504" i="1"/>
  <c r="C2505" i="1"/>
  <c r="C2016" i="1"/>
  <c r="C2017" i="1"/>
  <c r="C2080" i="1"/>
  <c r="C2081" i="1"/>
  <c r="C2144" i="1"/>
  <c r="C2145" i="1"/>
  <c r="C2208" i="1"/>
  <c r="C2209" i="1"/>
  <c r="C2272" i="1"/>
  <c r="C2273" i="1"/>
  <c r="C2336" i="1"/>
  <c r="C2337" i="1"/>
  <c r="C2400" i="1"/>
  <c r="C2401" i="1"/>
  <c r="C2464" i="1"/>
  <c r="C2465" i="1"/>
  <c r="F3" i="1" l="1"/>
  <c r="F4" i="1" s="1"/>
  <c r="F9" i="1" s="1"/>
  <c r="F8" i="1" l="1"/>
  <c r="F7" i="1"/>
  <c r="G7" i="1"/>
  <c r="G9" i="1"/>
  <c r="G8" i="1"/>
</calcChain>
</file>

<file path=xl/sharedStrings.xml><?xml version="1.0" encoding="utf-8"?>
<sst xmlns="http://schemas.openxmlformats.org/spreadsheetml/2006/main" count="14" uniqueCount="14">
  <si>
    <t>Daglig avkastning</t>
  </si>
  <si>
    <t>Alphabet (Google: GOOG)</t>
  </si>
  <si>
    <t>Daglig standardavvik</t>
  </si>
  <si>
    <t>Årlig standardavvik gjennom siste 10 år</t>
  </si>
  <si>
    <t>Sannsynlighet</t>
  </si>
  <si>
    <t>Ett standardavvik fra gjennomsnittet</t>
  </si>
  <si>
    <t>66,26 %</t>
  </si>
  <si>
    <t>To standardavvik gra gjennomsnittet</t>
  </si>
  <si>
    <t>27,2 %</t>
  </si>
  <si>
    <t>Tre standardavvik fra gjennomsnittet</t>
  </si>
  <si>
    <t>4,26 %</t>
  </si>
  <si>
    <t>Laveste</t>
  </si>
  <si>
    <t>Høyeste</t>
  </si>
  <si>
    <t>Gjennomsnittlig årlig avkastning siste 10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</si>
</sst>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4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1155CC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0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theme="7"/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inanssans.no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22087</xdr:colOff>
      <xdr:row>10</xdr:row>
      <xdr:rowOff>5531</xdr:rowOff>
    </xdr:from>
    <xdr:ext cx="6223758" cy="4334560"/>
    <xdr:pic>
      <xdr:nvPicPr>
        <xdr:cNvPr id="2" name="image2.png" title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1130" y="1882922"/>
          <a:ext cx="6223758" cy="433456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651565</xdr:colOff>
      <xdr:row>0</xdr:row>
      <xdr:rowOff>101323</xdr:rowOff>
    </xdr:from>
    <xdr:ext cx="1544430" cy="224404"/>
    <xdr:pic>
      <xdr:nvPicPr>
        <xdr:cNvPr id="3" name="image1.png" title="Bild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248348" y="101323"/>
          <a:ext cx="1544430" cy="22440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515"/>
  <sheetViews>
    <sheetView tabSelected="1" zoomScale="115" workbookViewId="0">
      <selection activeCell="I1" sqref="I1"/>
    </sheetView>
  </sheetViews>
  <sheetFormatPr baseColWidth="10" defaultColWidth="14.5" defaultRowHeight="15.75" customHeight="1" x14ac:dyDescent="0.15"/>
  <cols>
    <col min="1" max="1" width="26.5" customWidth="1"/>
    <col min="3" max="3" width="18" customWidth="1"/>
    <col min="5" max="5" width="38" customWidth="1"/>
    <col min="7" max="7" width="15" customWidth="1"/>
    <col min="11" max="11" width="15.5" customWidth="1"/>
  </cols>
  <sheetData>
    <row r="1" spans="1:11" ht="15.75" customHeight="1" x14ac:dyDescent="0.15">
      <c r="A1" s="1" t="str">
        <f ca="1">IFERROR(__xludf.DUMMYFUNCTION("GOOGLEFINANCE(""GOOG"",""close"",TODAY()-3650,TODAY())"),"Date")</f>
        <v>Date</v>
      </c>
      <c r="B1" s="2" t="str">
        <f ca="1">IFERROR(__xludf.DUMMYFUNCTION("""COMPUTED_VALUE"""),"Close")</f>
        <v>Close</v>
      </c>
      <c r="C1" s="1" t="s">
        <v>0</v>
      </c>
      <c r="E1" s="1" t="s">
        <v>1</v>
      </c>
    </row>
    <row r="2" spans="1:11" ht="15.75" customHeight="1" x14ac:dyDescent="0.15">
      <c r="A2" s="3">
        <f ca="1">IFERROR(__xludf.DUMMYFUNCTION("""COMPUTED_VALUE"""),40441.6666666666)</f>
        <v>40441.666666666599</v>
      </c>
      <c r="B2" s="4">
        <f ca="1">IFERROR(__xludf.DUMMYFUNCTION("""COMPUTED_VALUE"""),254.14)</f>
        <v>254.14</v>
      </c>
      <c r="E2" s="1" t="s">
        <v>13</v>
      </c>
      <c r="F2" s="5">
        <f ca="1">((B2515/B2)^(1/10)-1)</f>
        <v>0.19579430160600642</v>
      </c>
    </row>
    <row r="3" spans="1:11" ht="15.75" customHeight="1" x14ac:dyDescent="0.15">
      <c r="A3" s="3">
        <f ca="1">IFERROR(__xludf.DUMMYFUNCTION("""COMPUTED_VALUE"""),40442.6666666666)</f>
        <v>40442.666666666599</v>
      </c>
      <c r="B3" s="4">
        <f ca="1">IFERROR(__xludf.DUMMYFUNCTION("""COMPUTED_VALUE"""),256.73)</f>
        <v>256.73</v>
      </c>
      <c r="C3" s="5">
        <f t="shared" ref="C3:C2515" ca="1" si="0">LN(B3/B2)</f>
        <v>1.0139652711409685E-2</v>
      </c>
      <c r="E3" s="1" t="s">
        <v>2</v>
      </c>
      <c r="F3" s="5">
        <f ca="1">STDEV(C3:C2515)</f>
        <v>1.6180445143547401E-2</v>
      </c>
    </row>
    <row r="4" spans="1:11" ht="15.75" customHeight="1" x14ac:dyDescent="0.15">
      <c r="A4" s="3">
        <f ca="1">IFERROR(__xludf.DUMMYFUNCTION("""COMPUTED_VALUE"""),40443.6666666666)</f>
        <v>40443.666666666599</v>
      </c>
      <c r="B4" s="4">
        <f ca="1">IFERROR(__xludf.DUMMYFUNCTION("""COMPUTED_VALUE"""),258)</f>
        <v>258</v>
      </c>
      <c r="C4" s="5">
        <f t="shared" ca="1" si="0"/>
        <v>4.9346359338196177E-3</v>
      </c>
      <c r="E4" s="1" t="s">
        <v>3</v>
      </c>
      <c r="F4" s="5">
        <f ca="1">F3*SQRT(252)</f>
        <v>0.25685660371289537</v>
      </c>
    </row>
    <row r="5" spans="1:11" ht="15.75" customHeight="1" x14ac:dyDescent="0.15">
      <c r="A5" s="3">
        <f ca="1">IFERROR(__xludf.DUMMYFUNCTION("""COMPUTED_VALUE"""),40444.6666666666)</f>
        <v>40444.666666666599</v>
      </c>
      <c r="B5" s="4">
        <f ca="1">IFERROR(__xludf.DUMMYFUNCTION("""COMPUTED_VALUE"""),256.73)</f>
        <v>256.73</v>
      </c>
      <c r="C5" s="5">
        <f t="shared" ca="1" si="0"/>
        <v>-4.93463593381957E-3</v>
      </c>
    </row>
    <row r="6" spans="1:11" ht="15.75" customHeight="1" x14ac:dyDescent="0.15">
      <c r="A6" s="3">
        <f ca="1">IFERROR(__xludf.DUMMYFUNCTION("""COMPUTED_VALUE"""),40445.6666666666)</f>
        <v>40445.666666666599</v>
      </c>
      <c r="B6" s="4">
        <f ca="1">IFERROR(__xludf.DUMMYFUNCTION("""COMPUTED_VALUE"""),263.64)</f>
        <v>263.64</v>
      </c>
      <c r="C6" s="5">
        <f t="shared" ca="1" si="0"/>
        <v>2.6559587196721218E-2</v>
      </c>
      <c r="F6" s="1" t="s">
        <v>11</v>
      </c>
      <c r="G6" s="1" t="s">
        <v>12</v>
      </c>
      <c r="H6" s="1" t="s">
        <v>4</v>
      </c>
    </row>
    <row r="7" spans="1:11" ht="15.75" customHeight="1" x14ac:dyDescent="0.15">
      <c r="A7" s="3">
        <f ca="1">IFERROR(__xludf.DUMMYFUNCTION("""COMPUTED_VALUE"""),40448.6666666666)</f>
        <v>40448.666666666599</v>
      </c>
      <c r="B7" s="4">
        <f ca="1">IFERROR(__xludf.DUMMYFUNCTION("""COMPUTED_VALUE"""),265.2)</f>
        <v>265.2</v>
      </c>
      <c r="C7" s="5">
        <f t="shared" ca="1" si="0"/>
        <v>5.899722127188322E-3</v>
      </c>
      <c r="E7" s="1" t="s">
        <v>5</v>
      </c>
      <c r="F7" s="5">
        <f ca="1">F2-F4</f>
        <v>-6.1062302106888955E-2</v>
      </c>
      <c r="G7" s="5">
        <f ca="1">F2+F4</f>
        <v>0.45265090531890179</v>
      </c>
      <c r="H7" s="6" t="s">
        <v>6</v>
      </c>
    </row>
    <row r="8" spans="1:11" ht="15.75" customHeight="1" x14ac:dyDescent="0.15">
      <c r="A8" s="3">
        <f ca="1">IFERROR(__xludf.DUMMYFUNCTION("""COMPUTED_VALUE"""),40449.6666666666)</f>
        <v>40449.666666666599</v>
      </c>
      <c r="B8" s="4">
        <f ca="1">IFERROR(__xludf.DUMMYFUNCTION("""COMPUTED_VALUE"""),263.58)</f>
        <v>263.58</v>
      </c>
      <c r="C8" s="5">
        <f t="shared" ca="1" si="0"/>
        <v>-6.1273310959642242E-3</v>
      </c>
      <c r="E8" s="1" t="s">
        <v>7</v>
      </c>
      <c r="F8" s="5">
        <f ca="1">F2-F4-F4</f>
        <v>-0.31791890581978433</v>
      </c>
      <c r="G8" s="5">
        <f ca="1">F2+F4+F4</f>
        <v>0.70950750903179716</v>
      </c>
      <c r="H8" s="6" t="s">
        <v>8</v>
      </c>
    </row>
    <row r="9" spans="1:11" ht="15.75" customHeight="1" x14ac:dyDescent="0.15">
      <c r="A9" s="3">
        <f ca="1">IFERROR(__xludf.DUMMYFUNCTION("""COMPUTED_VALUE"""),40450.6666666666)</f>
        <v>40450.666666666599</v>
      </c>
      <c r="B9" s="4">
        <f ca="1">IFERROR(__xludf.DUMMYFUNCTION("""COMPUTED_VALUE"""),263.84)</f>
        <v>263.83999999999997</v>
      </c>
      <c r="C9" s="5">
        <f t="shared" ca="1" si="0"/>
        <v>9.8593159554549855E-4</v>
      </c>
      <c r="E9" s="1" t="s">
        <v>9</v>
      </c>
      <c r="F9" s="5">
        <f ca="1">F2-F4-F4-F4</f>
        <v>-0.57477550953267964</v>
      </c>
      <c r="G9" s="5">
        <f ca="1">F2+F4+F4+F4</f>
        <v>0.96636411274469247</v>
      </c>
      <c r="H9" s="6" t="s">
        <v>10</v>
      </c>
      <c r="K9" s="7"/>
    </row>
    <row r="10" spans="1:11" ht="15.75" customHeight="1" x14ac:dyDescent="0.15">
      <c r="A10" s="3">
        <f ca="1">IFERROR(__xludf.DUMMYFUNCTION("""COMPUTED_VALUE"""),40451.6666666666)</f>
        <v>40451.666666666599</v>
      </c>
      <c r="B10" s="4">
        <f ca="1">IFERROR(__xludf.DUMMYFUNCTION("""COMPUTED_VALUE"""),262.89)</f>
        <v>262.89</v>
      </c>
      <c r="C10" s="5">
        <f t="shared" ca="1" si="0"/>
        <v>-3.6071650754197805E-3</v>
      </c>
    </row>
    <row r="11" spans="1:11" ht="15.75" customHeight="1" x14ac:dyDescent="0.15">
      <c r="A11" s="3">
        <f ca="1">IFERROR(__xludf.DUMMYFUNCTION("""COMPUTED_VALUE"""),40452.6666666666)</f>
        <v>40452.666666666599</v>
      </c>
      <c r="B11" s="4">
        <f ca="1">IFERROR(__xludf.DUMMYFUNCTION("""COMPUTED_VALUE"""),262.81)</f>
        <v>262.81</v>
      </c>
      <c r="C11" s="5">
        <f t="shared" ca="1" si="0"/>
        <v>-3.043560989824772E-4</v>
      </c>
    </row>
    <row r="12" spans="1:11" ht="15.75" customHeight="1" x14ac:dyDescent="0.15">
      <c r="A12" s="3">
        <f ca="1">IFERROR(__xludf.DUMMYFUNCTION("""COMPUTED_VALUE"""),40455.6666666666)</f>
        <v>40455.666666666599</v>
      </c>
      <c r="B12" s="4">
        <f ca="1">IFERROR(__xludf.DUMMYFUNCTION("""COMPUTED_VALUE"""),261.17)</f>
        <v>261.17</v>
      </c>
      <c r="C12" s="5">
        <f t="shared" ca="1" si="0"/>
        <v>-6.259801348506666E-3</v>
      </c>
    </row>
    <row r="13" spans="1:11" ht="15.75" customHeight="1" x14ac:dyDescent="0.15">
      <c r="A13" s="3">
        <f ca="1">IFERROR(__xludf.DUMMYFUNCTION("""COMPUTED_VALUE"""),40456.6666666666)</f>
        <v>40456.666666666599</v>
      </c>
      <c r="B13" s="4">
        <f ca="1">IFERROR(__xludf.DUMMYFUNCTION("""COMPUTED_VALUE"""),269.11)</f>
        <v>269.11</v>
      </c>
      <c r="C13" s="5">
        <f t="shared" ca="1" si="0"/>
        <v>2.9948681660757009E-2</v>
      </c>
    </row>
    <row r="14" spans="1:11" ht="15.75" customHeight="1" x14ac:dyDescent="0.15">
      <c r="A14" s="3">
        <f ca="1">IFERROR(__xludf.DUMMYFUNCTION("""COMPUTED_VALUE"""),40457.6666666666)</f>
        <v>40457.666666666599</v>
      </c>
      <c r="B14" s="4">
        <f ca="1">IFERROR(__xludf.DUMMYFUNCTION("""COMPUTED_VALUE"""),266.04)</f>
        <v>266.04000000000002</v>
      </c>
      <c r="C14" s="5">
        <f t="shared" ca="1" si="0"/>
        <v>-1.1473544532916472E-2</v>
      </c>
    </row>
    <row r="15" spans="1:11" ht="15.75" customHeight="1" x14ac:dyDescent="0.15">
      <c r="A15" s="3">
        <f ca="1">IFERROR(__xludf.DUMMYFUNCTION("""COMPUTED_VALUE"""),40458.6666666666)</f>
        <v>40458.666666666599</v>
      </c>
      <c r="B15" s="4">
        <f ca="1">IFERROR(__xludf.DUMMYFUNCTION("""COMPUTED_VALUE"""),265)</f>
        <v>265</v>
      </c>
      <c r="C15" s="5">
        <f t="shared" ca="1" si="0"/>
        <v>-3.9168474299983132E-3</v>
      </c>
    </row>
    <row r="16" spans="1:11" ht="15.75" customHeight="1" x14ac:dyDescent="0.15">
      <c r="A16" s="3">
        <f ca="1">IFERROR(__xludf.DUMMYFUNCTION("""COMPUTED_VALUE"""),40459.6666666666)</f>
        <v>40459.666666666599</v>
      </c>
      <c r="B16" s="4">
        <f ca="1">IFERROR(__xludf.DUMMYFUNCTION("""COMPUTED_VALUE"""),268.17)</f>
        <v>268.17</v>
      </c>
      <c r="C16" s="5">
        <f t="shared" ca="1" si="0"/>
        <v>1.1891281781648683E-2</v>
      </c>
    </row>
    <row r="17" spans="1:3" ht="15.75" customHeight="1" x14ac:dyDescent="0.15">
      <c r="A17" s="3">
        <f ca="1">IFERROR(__xludf.DUMMYFUNCTION("""COMPUTED_VALUE"""),40462.6666666666)</f>
        <v>40462.666666666599</v>
      </c>
      <c r="B17" s="4">
        <f ca="1">IFERROR(__xludf.DUMMYFUNCTION("""COMPUTED_VALUE"""),269.42)</f>
        <v>269.42</v>
      </c>
      <c r="C17" s="5">
        <f t="shared" ca="1" si="0"/>
        <v>4.6503925025510691E-3</v>
      </c>
    </row>
    <row r="18" spans="1:3" ht="15.75" customHeight="1" x14ac:dyDescent="0.15">
      <c r="A18" s="3">
        <f ca="1">IFERROR(__xludf.DUMMYFUNCTION("""COMPUTED_VALUE"""),40463.6666666666)</f>
        <v>40463.666666666599</v>
      </c>
      <c r="B18" s="4">
        <f ca="1">IFERROR(__xludf.DUMMYFUNCTION("""COMPUTED_VALUE"""),270.69)</f>
        <v>270.69</v>
      </c>
      <c r="C18" s="5">
        <f t="shared" ca="1" si="0"/>
        <v>4.7027544040969859E-3</v>
      </c>
    </row>
    <row r="19" spans="1:3" ht="15.75" customHeight="1" x14ac:dyDescent="0.15">
      <c r="A19" s="3">
        <f ca="1">IFERROR(__xludf.DUMMYFUNCTION("""COMPUTED_VALUE"""),40464.6666666666)</f>
        <v>40464.666666666599</v>
      </c>
      <c r="B19" s="4">
        <f ca="1">IFERROR(__xludf.DUMMYFUNCTION("""COMPUTED_VALUE"""),271.64)</f>
        <v>271.64</v>
      </c>
      <c r="C19" s="5">
        <f t="shared" ca="1" si="0"/>
        <v>3.5034055710715007E-3</v>
      </c>
    </row>
    <row r="20" spans="1:3" ht="15.75" customHeight="1" x14ac:dyDescent="0.15">
      <c r="A20" s="3">
        <f ca="1">IFERROR(__xludf.DUMMYFUNCTION("""COMPUTED_VALUE"""),40465.6666666666)</f>
        <v>40465.666666666599</v>
      </c>
      <c r="B20" s="4">
        <f ca="1">IFERROR(__xludf.DUMMYFUNCTION("""COMPUTED_VALUE"""),270.46)</f>
        <v>270.45999999999998</v>
      </c>
      <c r="C20" s="5">
        <f t="shared" ca="1" si="0"/>
        <v>-4.3534472003769588E-3</v>
      </c>
    </row>
    <row r="21" spans="1:3" ht="15.75" customHeight="1" x14ac:dyDescent="0.15">
      <c r="A21" s="3">
        <f ca="1">IFERROR(__xludf.DUMMYFUNCTION("""COMPUTED_VALUE"""),40466.6666666666)</f>
        <v>40466.666666666599</v>
      </c>
      <c r="B21" s="4">
        <f ca="1">IFERROR(__xludf.DUMMYFUNCTION("""COMPUTED_VALUE"""),300.72)</f>
        <v>300.72000000000003</v>
      </c>
      <c r="C21" s="5">
        <f t="shared" ca="1" si="0"/>
        <v>0.10605538621070901</v>
      </c>
    </row>
    <row r="22" spans="1:3" ht="15.75" customHeight="1" x14ac:dyDescent="0.15">
      <c r="A22" s="3">
        <f ca="1">IFERROR(__xludf.DUMMYFUNCTION("""COMPUTED_VALUE"""),40469.6666666666)</f>
        <v>40469.666666666599</v>
      </c>
      <c r="B22" s="4">
        <f ca="1">IFERROR(__xludf.DUMMYFUNCTION("""COMPUTED_VALUE"""),308.85)</f>
        <v>308.85000000000002</v>
      </c>
      <c r="C22" s="5">
        <f t="shared" ca="1" si="0"/>
        <v>2.6676122885985611E-2</v>
      </c>
    </row>
    <row r="23" spans="1:3" ht="15.75" customHeight="1" x14ac:dyDescent="0.15">
      <c r="A23" s="3">
        <f ca="1">IFERROR(__xludf.DUMMYFUNCTION("""COMPUTED_VALUE"""),40470.6666666666)</f>
        <v>40470.666666666599</v>
      </c>
      <c r="B23" s="4">
        <f ca="1">IFERROR(__xludf.DUMMYFUNCTION("""COMPUTED_VALUE"""),303.91)</f>
        <v>303.91000000000003</v>
      </c>
      <c r="C23" s="5">
        <f t="shared" ca="1" si="0"/>
        <v>-1.6124117199497013E-2</v>
      </c>
    </row>
    <row r="24" spans="1:3" ht="15.75" customHeight="1" x14ac:dyDescent="0.15">
      <c r="A24" s="3">
        <f ca="1">IFERROR(__xludf.DUMMYFUNCTION("""COMPUTED_VALUE"""),40471.6666666666)</f>
        <v>40471.666666666599</v>
      </c>
      <c r="B24" s="4">
        <f ca="1">IFERROR(__xludf.DUMMYFUNCTION("""COMPUTED_VALUE"""),303.98)</f>
        <v>303.98</v>
      </c>
      <c r="C24" s="5">
        <f t="shared" ca="1" si="0"/>
        <v>2.3030482590402737E-4</v>
      </c>
    </row>
    <row r="25" spans="1:3" ht="15.75" customHeight="1" x14ac:dyDescent="0.15">
      <c r="A25" s="3">
        <f ca="1">IFERROR(__xludf.DUMMYFUNCTION("""COMPUTED_VALUE"""),40472.6666666666)</f>
        <v>40472.666666666599</v>
      </c>
      <c r="B25" s="4">
        <f ca="1">IFERROR(__xludf.DUMMYFUNCTION("""COMPUTED_VALUE"""),305.99)</f>
        <v>305.99</v>
      </c>
      <c r="C25" s="5">
        <f t="shared" ca="1" si="0"/>
        <v>6.5905119115091644E-3</v>
      </c>
    </row>
    <row r="26" spans="1:3" ht="15.75" customHeight="1" x14ac:dyDescent="0.15">
      <c r="A26" s="3">
        <f ca="1">IFERROR(__xludf.DUMMYFUNCTION("""COMPUTED_VALUE"""),40473.6666666666)</f>
        <v>40473.666666666599</v>
      </c>
      <c r="B26" s="4">
        <f ca="1">IFERROR(__xludf.DUMMYFUNCTION("""COMPUTED_VALUE"""),306.26)</f>
        <v>306.26</v>
      </c>
      <c r="C26" s="5">
        <f t="shared" ca="1" si="0"/>
        <v>8.8199270723711963E-4</v>
      </c>
    </row>
    <row r="27" spans="1:3" ht="15.75" customHeight="1" x14ac:dyDescent="0.15">
      <c r="A27" s="3">
        <f ca="1">IFERROR(__xludf.DUMMYFUNCTION("""COMPUTED_VALUE"""),40476.6666666666)</f>
        <v>40476.666666666599</v>
      </c>
      <c r="B27" s="4">
        <f ca="1">IFERROR(__xludf.DUMMYFUNCTION("""COMPUTED_VALUE"""),308.25)</f>
        <v>308.25</v>
      </c>
      <c r="C27" s="5">
        <f t="shared" ca="1" si="0"/>
        <v>6.4767276573919966E-3</v>
      </c>
    </row>
    <row r="28" spans="1:3" ht="15.75" customHeight="1" x14ac:dyDescent="0.15">
      <c r="A28" s="3">
        <f ca="1">IFERROR(__xludf.DUMMYFUNCTION("""COMPUTED_VALUE"""),40477.6666666666)</f>
        <v>40477.666666666599</v>
      </c>
      <c r="B28" s="4">
        <f ca="1">IFERROR(__xludf.DUMMYFUNCTION("""COMPUTED_VALUE"""),309.3)</f>
        <v>309.3</v>
      </c>
      <c r="C28" s="5">
        <f t="shared" ca="1" si="0"/>
        <v>3.4005376465703159E-3</v>
      </c>
    </row>
    <row r="29" spans="1:3" ht="15.75" customHeight="1" x14ac:dyDescent="0.15">
      <c r="A29" s="3">
        <f ca="1">IFERROR(__xludf.DUMMYFUNCTION("""COMPUTED_VALUE"""),40478.6666666666)</f>
        <v>40478.666666666599</v>
      </c>
      <c r="B29" s="4">
        <f ca="1">IFERROR(__xludf.DUMMYFUNCTION("""COMPUTED_VALUE"""),308.23)</f>
        <v>308.23</v>
      </c>
      <c r="C29" s="5">
        <f t="shared" ca="1" si="0"/>
        <v>-3.4654221521730408E-3</v>
      </c>
    </row>
    <row r="30" spans="1:3" ht="15.75" customHeight="1" x14ac:dyDescent="0.15">
      <c r="A30" s="3">
        <f ca="1">IFERROR(__xludf.DUMMYFUNCTION("""COMPUTED_VALUE"""),40479.6666666666)</f>
        <v>40479.666666666599</v>
      </c>
      <c r="B30" s="4">
        <f ca="1">IFERROR(__xludf.DUMMYFUNCTION("""COMPUTED_VALUE"""),309.29)</f>
        <v>309.29000000000002</v>
      </c>
      <c r="C30" s="5">
        <f t="shared" ca="1" si="0"/>
        <v>3.4330905593543972E-3</v>
      </c>
    </row>
    <row r="31" spans="1:3" ht="15.75" customHeight="1" x14ac:dyDescent="0.15">
      <c r="A31" s="3">
        <f ca="1">IFERROR(__xludf.DUMMYFUNCTION("""COMPUTED_VALUE"""),40480.6666666666)</f>
        <v>40480.666666666599</v>
      </c>
      <c r="B31" s="4">
        <f ca="1">IFERROR(__xludf.DUMMYFUNCTION("""COMPUTED_VALUE"""),306.85)</f>
        <v>306.85000000000002</v>
      </c>
      <c r="C31" s="5">
        <f t="shared" ca="1" si="0"/>
        <v>-7.920319263099166E-3</v>
      </c>
    </row>
    <row r="32" spans="1:3" ht="15.75" customHeight="1" x14ac:dyDescent="0.15">
      <c r="A32" s="3">
        <f ca="1">IFERROR(__xludf.DUMMYFUNCTION("""COMPUTED_VALUE"""),40483.6666666666)</f>
        <v>40483.666666666599</v>
      </c>
      <c r="B32" s="4">
        <f ca="1">IFERROR(__xludf.DUMMYFUNCTION("""COMPUTED_VALUE"""),307.5)</f>
        <v>307.5</v>
      </c>
      <c r="C32" s="5">
        <f t="shared" ca="1" si="0"/>
        <v>2.1160584114664031E-3</v>
      </c>
    </row>
    <row r="33" spans="1:3" ht="15.75" customHeight="1" x14ac:dyDescent="0.15">
      <c r="A33" s="3">
        <f ca="1">IFERROR(__xludf.DUMMYFUNCTION("""COMPUTED_VALUE"""),40484.6666666666)</f>
        <v>40484.666666666599</v>
      </c>
      <c r="B33" s="4">
        <f ca="1">IFERROR(__xludf.DUMMYFUNCTION("""COMPUTED_VALUE"""),307.8)</f>
        <v>307.8</v>
      </c>
      <c r="C33" s="5">
        <f t="shared" ca="1" si="0"/>
        <v>9.7513415820629139E-4</v>
      </c>
    </row>
    <row r="34" spans="1:3" ht="15.75" customHeight="1" x14ac:dyDescent="0.15">
      <c r="A34" s="3">
        <f ca="1">IFERROR(__xludf.DUMMYFUNCTION("""COMPUTED_VALUE"""),40485.6666666666)</f>
        <v>40485.666666666599</v>
      </c>
      <c r="B34" s="4">
        <f ca="1">IFERROR(__xludf.DUMMYFUNCTION("""COMPUTED_VALUE"""),310.08)</f>
        <v>310.08</v>
      </c>
      <c r="C34" s="5">
        <f t="shared" ca="1" si="0"/>
        <v>7.38010729762246E-3</v>
      </c>
    </row>
    <row r="35" spans="1:3" ht="15.75" customHeight="1" x14ac:dyDescent="0.15">
      <c r="A35" s="3">
        <f ca="1">IFERROR(__xludf.DUMMYFUNCTION("""COMPUTED_VALUE"""),40486.6666666666)</f>
        <v>40486.666666666599</v>
      </c>
      <c r="B35" s="4">
        <f ca="1">IFERROR(__xludf.DUMMYFUNCTION("""COMPUTED_VALUE"""),312.13)</f>
        <v>312.13</v>
      </c>
      <c r="C35" s="5">
        <f t="shared" ca="1" si="0"/>
        <v>6.5894389922972994E-3</v>
      </c>
    </row>
    <row r="36" spans="1:3" ht="15.75" customHeight="1" x14ac:dyDescent="0.15">
      <c r="A36" s="3">
        <f ca="1">IFERROR(__xludf.DUMMYFUNCTION("""COMPUTED_VALUE"""),40487.6666666666)</f>
        <v>40487.666666666599</v>
      </c>
      <c r="B36" s="4">
        <f ca="1">IFERROR(__xludf.DUMMYFUNCTION("""COMPUTED_VALUE"""),312.54)</f>
        <v>312.54000000000002</v>
      </c>
      <c r="C36" s="5">
        <f t="shared" ca="1" si="0"/>
        <v>1.3126932904567307E-3</v>
      </c>
    </row>
    <row r="37" spans="1:3" ht="15.75" customHeight="1" x14ac:dyDescent="0.15">
      <c r="A37" s="3">
        <f ca="1">IFERROR(__xludf.DUMMYFUNCTION("""COMPUTED_VALUE"""),40490.6666666666)</f>
        <v>40490.666666666599</v>
      </c>
      <c r="B37" s="4">
        <f ca="1">IFERROR(__xludf.DUMMYFUNCTION("""COMPUTED_VALUE"""),313.38)</f>
        <v>313.38</v>
      </c>
      <c r="C37" s="5">
        <f t="shared" ca="1" si="0"/>
        <v>2.6840506911070365E-3</v>
      </c>
    </row>
    <row r="38" spans="1:3" ht="15.75" customHeight="1" x14ac:dyDescent="0.15">
      <c r="A38" s="3">
        <f ca="1">IFERROR(__xludf.DUMMYFUNCTION("""COMPUTED_VALUE"""),40491.6666666666)</f>
        <v>40491.666666666599</v>
      </c>
      <c r="B38" s="4">
        <f ca="1">IFERROR(__xludf.DUMMYFUNCTION("""COMPUTED_VALUE"""),312.41)</f>
        <v>312.41000000000003</v>
      </c>
      <c r="C38" s="5">
        <f t="shared" ca="1" si="0"/>
        <v>-3.1000839797703994E-3</v>
      </c>
    </row>
    <row r="39" spans="1:3" ht="15.75" customHeight="1" x14ac:dyDescent="0.15">
      <c r="A39" s="3">
        <f ca="1">IFERROR(__xludf.DUMMYFUNCTION("""COMPUTED_VALUE"""),40492.6666666666)</f>
        <v>40492.666666666599</v>
      </c>
      <c r="B39" s="4">
        <f ca="1">IFERROR(__xludf.DUMMYFUNCTION("""COMPUTED_VALUE"""),311.44)</f>
        <v>311.44</v>
      </c>
      <c r="C39" s="5">
        <f t="shared" ca="1" si="0"/>
        <v>-3.1097243942916266E-3</v>
      </c>
    </row>
    <row r="40" spans="1:3" ht="15.75" customHeight="1" x14ac:dyDescent="0.15">
      <c r="A40" s="3">
        <f ca="1">IFERROR(__xludf.DUMMYFUNCTION("""COMPUTED_VALUE"""),40493.6666666666)</f>
        <v>40493.666666666599</v>
      </c>
      <c r="B40" s="4">
        <f ca="1">IFERROR(__xludf.DUMMYFUNCTION("""COMPUTED_VALUE"""),308.59)</f>
        <v>308.58999999999997</v>
      </c>
      <c r="C40" s="5">
        <f t="shared" ca="1" si="0"/>
        <v>-9.1931683051733656E-3</v>
      </c>
    </row>
    <row r="41" spans="1:3" ht="15.75" customHeight="1" x14ac:dyDescent="0.15">
      <c r="A41" s="3">
        <f ca="1">IFERROR(__xludf.DUMMYFUNCTION("""COMPUTED_VALUE"""),40494.6666666666)</f>
        <v>40494.666666666599</v>
      </c>
      <c r="B41" s="4">
        <f ca="1">IFERROR(__xludf.DUMMYFUNCTION("""COMPUTED_VALUE"""),301.64)</f>
        <v>301.64</v>
      </c>
      <c r="C41" s="5">
        <f t="shared" ca="1" si="0"/>
        <v>-2.2779281662580614E-2</v>
      </c>
    </row>
    <row r="42" spans="1:3" ht="15.75" customHeight="1" x14ac:dyDescent="0.15">
      <c r="A42" s="3">
        <f ca="1">IFERROR(__xludf.DUMMYFUNCTION("""COMPUTED_VALUE"""),40497.6666666666)</f>
        <v>40497.666666666599</v>
      </c>
      <c r="B42" s="4">
        <f ca="1">IFERROR(__xludf.DUMMYFUNCTION("""COMPUTED_VALUE"""),297.73)</f>
        <v>297.73</v>
      </c>
      <c r="C42" s="5">
        <f t="shared" ca="1" si="0"/>
        <v>-1.3047217800076222E-2</v>
      </c>
    </row>
    <row r="43" spans="1:3" ht="15.75" customHeight="1" x14ac:dyDescent="0.15">
      <c r="A43" s="3">
        <f ca="1">IFERROR(__xludf.DUMMYFUNCTION("""COMPUTED_VALUE"""),40498.6666666666)</f>
        <v>40498.666666666599</v>
      </c>
      <c r="B43" s="4">
        <f ca="1">IFERROR(__xludf.DUMMYFUNCTION("""COMPUTED_VALUE"""),291.85)</f>
        <v>291.85000000000002</v>
      </c>
      <c r="C43" s="5">
        <f t="shared" ca="1" si="0"/>
        <v>-1.9947063884569904E-2</v>
      </c>
    </row>
    <row r="44" spans="1:3" ht="15.75" customHeight="1" x14ac:dyDescent="0.15">
      <c r="A44" s="3">
        <f ca="1">IFERROR(__xludf.DUMMYFUNCTION("""COMPUTED_VALUE"""),40499.6666666666)</f>
        <v>40499.666666666599</v>
      </c>
      <c r="B44" s="4">
        <f ca="1">IFERROR(__xludf.DUMMYFUNCTION("""COMPUTED_VALUE"""),291.77)</f>
        <v>291.77</v>
      </c>
      <c r="C44" s="5">
        <f t="shared" ca="1" si="0"/>
        <v>-2.7415099037425843E-4</v>
      </c>
    </row>
    <row r="45" spans="1:3" ht="15.75" customHeight="1" x14ac:dyDescent="0.15">
      <c r="A45" s="3">
        <f ca="1">IFERROR(__xludf.DUMMYFUNCTION("""COMPUTED_VALUE"""),40500.6666666666)</f>
        <v>40500.666666666599</v>
      </c>
      <c r="B45" s="4">
        <f ca="1">IFERROR(__xludf.DUMMYFUNCTION("""COMPUTED_VALUE"""),298.27)</f>
        <v>298.27</v>
      </c>
      <c r="C45" s="5">
        <f t="shared" ca="1" si="0"/>
        <v>2.2033295907708049E-2</v>
      </c>
    </row>
    <row r="46" spans="1:3" ht="15.75" customHeight="1" x14ac:dyDescent="0.15">
      <c r="A46" s="3">
        <f ca="1">IFERROR(__xludf.DUMMYFUNCTION("""COMPUTED_VALUE"""),40501.6666666666)</f>
        <v>40501.666666666599</v>
      </c>
      <c r="B46" s="4">
        <f ca="1">IFERROR(__xludf.DUMMYFUNCTION("""COMPUTED_VALUE"""),295.41)</f>
        <v>295.41000000000003</v>
      </c>
      <c r="C46" s="5">
        <f t="shared" ca="1" si="0"/>
        <v>-9.6348946393134162E-3</v>
      </c>
    </row>
    <row r="47" spans="1:3" ht="15.75" customHeight="1" x14ac:dyDescent="0.15">
      <c r="A47" s="3">
        <f ca="1">IFERROR(__xludf.DUMMYFUNCTION("""COMPUTED_VALUE"""),40504.6666666666)</f>
        <v>40504.666666666599</v>
      </c>
      <c r="B47" s="4">
        <f ca="1">IFERROR(__xludf.DUMMYFUNCTION("""COMPUTED_VALUE"""),295.6)</f>
        <v>295.60000000000002</v>
      </c>
      <c r="C47" s="5">
        <f t="shared" ca="1" si="0"/>
        <v>6.4296714622626453E-4</v>
      </c>
    </row>
    <row r="48" spans="1:3" ht="15.75" customHeight="1" x14ac:dyDescent="0.15">
      <c r="A48" s="3">
        <f ca="1">IFERROR(__xludf.DUMMYFUNCTION("""COMPUTED_VALUE"""),40505.6666666666)</f>
        <v>40505.666666666599</v>
      </c>
      <c r="B48" s="4">
        <f ca="1">IFERROR(__xludf.DUMMYFUNCTION("""COMPUTED_VALUE"""),291.5)</f>
        <v>291.5</v>
      </c>
      <c r="C48" s="5">
        <f t="shared" ca="1" si="0"/>
        <v>-1.3967183283499683E-2</v>
      </c>
    </row>
    <row r="49" spans="1:3" ht="15.75" customHeight="1" x14ac:dyDescent="0.15">
      <c r="A49" s="3">
        <f ca="1">IFERROR(__xludf.DUMMYFUNCTION("""COMPUTED_VALUE"""),40506.6666666666)</f>
        <v>40506.666666666599</v>
      </c>
      <c r="B49" s="4">
        <f ca="1">IFERROR(__xludf.DUMMYFUNCTION("""COMPUTED_VALUE"""),297.48)</f>
        <v>297.48</v>
      </c>
      <c r="C49" s="5">
        <f t="shared" ca="1" si="0"/>
        <v>2.0306990044552522E-2</v>
      </c>
    </row>
    <row r="50" spans="1:3" ht="15.75" customHeight="1" x14ac:dyDescent="0.15">
      <c r="A50" s="3">
        <f ca="1">IFERROR(__xludf.DUMMYFUNCTION("""COMPUTED_VALUE"""),40508.6666666666)</f>
        <v>40508.666666666599</v>
      </c>
      <c r="B50" s="4">
        <f ca="1">IFERROR(__xludf.DUMMYFUNCTION("""COMPUTED_VALUE"""),295)</f>
        <v>295</v>
      </c>
      <c r="C50" s="5">
        <f t="shared" ca="1" si="0"/>
        <v>-8.3716394952796699E-3</v>
      </c>
    </row>
    <row r="51" spans="1:3" ht="15.75" customHeight="1" x14ac:dyDescent="0.15">
      <c r="A51" s="3">
        <f ca="1">IFERROR(__xludf.DUMMYFUNCTION("""COMPUTED_VALUE"""),40511.6666666666)</f>
        <v>40511.666666666599</v>
      </c>
      <c r="B51" s="4">
        <f ca="1">IFERROR(__xludf.DUMMYFUNCTION("""COMPUTED_VALUE"""),291.05)</f>
        <v>291.05</v>
      </c>
      <c r="C51" s="5">
        <f t="shared" ca="1" si="0"/>
        <v>-1.3480282622075263E-2</v>
      </c>
    </row>
    <row r="52" spans="1:3" ht="15.75" customHeight="1" x14ac:dyDescent="0.15">
      <c r="A52" s="3">
        <f ca="1">IFERROR(__xludf.DUMMYFUNCTION("""COMPUTED_VALUE"""),40512.6666666666)</f>
        <v>40512.666666666599</v>
      </c>
      <c r="B52" s="4">
        <f ca="1">IFERROR(__xludf.DUMMYFUNCTION("""COMPUTED_VALUE"""),277.85)</f>
        <v>277.85000000000002</v>
      </c>
      <c r="C52" s="5">
        <f t="shared" ca="1" si="0"/>
        <v>-4.6413673991814196E-2</v>
      </c>
    </row>
    <row r="53" spans="1:3" ht="15.75" customHeight="1" x14ac:dyDescent="0.15">
      <c r="A53" s="3">
        <f ca="1">IFERROR(__xludf.DUMMYFUNCTION("""COMPUTED_VALUE"""),40513.6666666666)</f>
        <v>40513.666666666599</v>
      </c>
      <c r="B53" s="4">
        <f ca="1">IFERROR(__xludf.DUMMYFUNCTION("""COMPUTED_VALUE"""),282.17)</f>
        <v>282.17</v>
      </c>
      <c r="C53" s="5">
        <f t="shared" ca="1" si="0"/>
        <v>1.5428326458457521E-2</v>
      </c>
    </row>
    <row r="54" spans="1:3" ht="15.75" customHeight="1" x14ac:dyDescent="0.15">
      <c r="A54" s="3">
        <f ca="1">IFERROR(__xludf.DUMMYFUNCTION("""COMPUTED_VALUE"""),40514.6666666666)</f>
        <v>40514.666666666599</v>
      </c>
      <c r="B54" s="4">
        <f ca="1">IFERROR(__xludf.DUMMYFUNCTION("""COMPUTED_VALUE"""),285.91)</f>
        <v>285.91000000000003</v>
      </c>
      <c r="C54" s="5">
        <f t="shared" ca="1" si="0"/>
        <v>1.3167349796966016E-2</v>
      </c>
    </row>
    <row r="55" spans="1:3" ht="15.75" customHeight="1" x14ac:dyDescent="0.15">
      <c r="A55" s="3">
        <f ca="1">IFERROR(__xludf.DUMMYFUNCTION("""COMPUTED_VALUE"""),40515.6666666666)</f>
        <v>40515.666666666599</v>
      </c>
      <c r="B55" s="4">
        <f ca="1">IFERROR(__xludf.DUMMYFUNCTION("""COMPUTED_VALUE"""),286.5)</f>
        <v>286.5</v>
      </c>
      <c r="C55" s="5">
        <f t="shared" ca="1" si="0"/>
        <v>2.0614601734404571E-3</v>
      </c>
    </row>
    <row r="56" spans="1:3" ht="15.75" customHeight="1" x14ac:dyDescent="0.15">
      <c r="A56" s="3">
        <f ca="1">IFERROR(__xludf.DUMMYFUNCTION("""COMPUTED_VALUE"""),40518.6666666666)</f>
        <v>40518.666666666599</v>
      </c>
      <c r="B56" s="4">
        <f ca="1">IFERROR(__xludf.DUMMYFUNCTION("""COMPUTED_VALUE"""),289.18)</f>
        <v>289.18</v>
      </c>
      <c r="C56" s="5">
        <f t="shared" ca="1" si="0"/>
        <v>9.3107954451859039E-3</v>
      </c>
    </row>
    <row r="57" spans="1:3" ht="15.75" customHeight="1" x14ac:dyDescent="0.15">
      <c r="A57" s="3">
        <f ca="1">IFERROR(__xludf.DUMMYFUNCTION("""COMPUTED_VALUE"""),40519.6666666666)</f>
        <v>40519.666666666599</v>
      </c>
      <c r="B57" s="4">
        <f ca="1">IFERROR(__xludf.DUMMYFUNCTION("""COMPUTED_VALUE"""),293.57)</f>
        <v>293.57</v>
      </c>
      <c r="C57" s="5">
        <f t="shared" ca="1" si="0"/>
        <v>1.5066780083152877E-2</v>
      </c>
    </row>
    <row r="58" spans="1:3" ht="13" x14ac:dyDescent="0.15">
      <c r="A58" s="3">
        <f ca="1">IFERROR(__xludf.DUMMYFUNCTION("""COMPUTED_VALUE"""),40520.6666666666)</f>
        <v>40520.666666666599</v>
      </c>
      <c r="B58" s="4">
        <f ca="1">IFERROR(__xludf.DUMMYFUNCTION("""COMPUTED_VALUE"""),295.26)</f>
        <v>295.26</v>
      </c>
      <c r="C58" s="5">
        <f t="shared" ca="1" si="0"/>
        <v>5.7402124228087201E-3</v>
      </c>
    </row>
    <row r="59" spans="1:3" ht="13" x14ac:dyDescent="0.15">
      <c r="A59" s="3">
        <f ca="1">IFERROR(__xludf.DUMMYFUNCTION("""COMPUTED_VALUE"""),40521.6666666666)</f>
        <v>40521.666666666599</v>
      </c>
      <c r="B59" s="4">
        <f ca="1">IFERROR(__xludf.DUMMYFUNCTION("""COMPUTED_VALUE"""),295.75)</f>
        <v>295.75</v>
      </c>
      <c r="C59" s="5">
        <f t="shared" ca="1" si="0"/>
        <v>1.6581787525543693E-3</v>
      </c>
    </row>
    <row r="60" spans="1:3" ht="13" x14ac:dyDescent="0.15">
      <c r="A60" s="3">
        <f ca="1">IFERROR(__xludf.DUMMYFUNCTION("""COMPUTED_VALUE"""),40522.6666666666)</f>
        <v>40522.666666666599</v>
      </c>
      <c r="B60" s="4">
        <f ca="1">IFERROR(__xludf.DUMMYFUNCTION("""COMPUTED_VALUE"""),296.1)</f>
        <v>296.10000000000002</v>
      </c>
      <c r="C60" s="5">
        <f t="shared" ca="1" si="0"/>
        <v>1.1827322490496157E-3</v>
      </c>
    </row>
    <row r="61" spans="1:3" ht="13" x14ac:dyDescent="0.15">
      <c r="A61" s="3">
        <f ca="1">IFERROR(__xludf.DUMMYFUNCTION("""COMPUTED_VALUE"""),40525.6666666666)</f>
        <v>40525.666666666599</v>
      </c>
      <c r="B61" s="4">
        <f ca="1">IFERROR(__xludf.DUMMYFUNCTION("""COMPUTED_VALUE"""),297.31)</f>
        <v>297.31</v>
      </c>
      <c r="C61" s="5">
        <f t="shared" ca="1" si="0"/>
        <v>4.0781303886809304E-3</v>
      </c>
    </row>
    <row r="62" spans="1:3" ht="13" x14ac:dyDescent="0.15">
      <c r="A62" s="3">
        <f ca="1">IFERROR(__xludf.DUMMYFUNCTION("""COMPUTED_VALUE"""),40526.6666666666)</f>
        <v>40526.666666666599</v>
      </c>
      <c r="B62" s="4">
        <f ca="1">IFERROR(__xludf.DUMMYFUNCTION("""COMPUTED_VALUE"""),297.45)</f>
        <v>297.45</v>
      </c>
      <c r="C62" s="5">
        <f t="shared" ca="1" si="0"/>
        <v>4.707781376881554E-4</v>
      </c>
    </row>
    <row r="63" spans="1:3" ht="13" x14ac:dyDescent="0.15">
      <c r="A63" s="3">
        <f ca="1">IFERROR(__xludf.DUMMYFUNCTION("""COMPUTED_VALUE"""),40527.6666666666)</f>
        <v>40527.666666666599</v>
      </c>
      <c r="B63" s="4">
        <f ca="1">IFERROR(__xludf.DUMMYFUNCTION("""COMPUTED_VALUE"""),295.14)</f>
        <v>295.14</v>
      </c>
      <c r="C63" s="5">
        <f t="shared" ca="1" si="0"/>
        <v>-7.796323598611197E-3</v>
      </c>
    </row>
    <row r="64" spans="1:3" ht="13" x14ac:dyDescent="0.15">
      <c r="A64" s="3">
        <f ca="1">IFERROR(__xludf.DUMMYFUNCTION("""COMPUTED_VALUE"""),40528.6666666666)</f>
        <v>40528.666666666599</v>
      </c>
      <c r="B64" s="4">
        <f ca="1">IFERROR(__xludf.DUMMYFUNCTION("""COMPUTED_VALUE"""),295.85)</f>
        <v>295.85000000000002</v>
      </c>
      <c r="C64" s="5">
        <f t="shared" ca="1" si="0"/>
        <v>2.4027490873997324E-3</v>
      </c>
    </row>
    <row r="65" spans="1:3" ht="13" x14ac:dyDescent="0.15">
      <c r="A65" s="3">
        <f ca="1">IFERROR(__xludf.DUMMYFUNCTION("""COMPUTED_VALUE"""),40529.6666666666)</f>
        <v>40529.666666666599</v>
      </c>
      <c r="B65" s="4">
        <f ca="1">IFERROR(__xludf.DUMMYFUNCTION("""COMPUTED_VALUE"""),295.39)</f>
        <v>295.39</v>
      </c>
      <c r="C65" s="5">
        <f t="shared" ca="1" si="0"/>
        <v>-1.5560520019499999E-3</v>
      </c>
    </row>
    <row r="66" spans="1:3" ht="13" x14ac:dyDescent="0.15">
      <c r="A66" s="3">
        <f ca="1">IFERROR(__xludf.DUMMYFUNCTION("""COMPUTED_VALUE"""),40532.6666666666)</f>
        <v>40532.666666666599</v>
      </c>
      <c r="B66" s="4">
        <f ca="1">IFERROR(__xludf.DUMMYFUNCTION("""COMPUTED_VALUE"""),297.52)</f>
        <v>297.52</v>
      </c>
      <c r="C66" s="5">
        <f t="shared" ca="1" si="0"/>
        <v>7.1849324960614304E-3</v>
      </c>
    </row>
    <row r="67" spans="1:3" ht="13" x14ac:dyDescent="0.15">
      <c r="A67" s="3">
        <f ca="1">IFERROR(__xludf.DUMMYFUNCTION("""COMPUTED_VALUE"""),40533.6666666666)</f>
        <v>40533.666666666599</v>
      </c>
      <c r="B67" s="4">
        <f ca="1">IFERROR(__xludf.DUMMYFUNCTION("""COMPUTED_VALUE"""),301.53)</f>
        <v>301.52999999999997</v>
      </c>
      <c r="C67" s="5">
        <f t="shared" ca="1" si="0"/>
        <v>1.3388064087943465E-2</v>
      </c>
    </row>
    <row r="68" spans="1:3" ht="13" x14ac:dyDescent="0.15">
      <c r="A68" s="3">
        <f ca="1">IFERROR(__xludf.DUMMYFUNCTION("""COMPUTED_VALUE"""),40534.6666666666)</f>
        <v>40534.666666666599</v>
      </c>
      <c r="B68" s="4">
        <f ca="1">IFERROR(__xludf.DUMMYFUNCTION("""COMPUTED_VALUE"""),302.74)</f>
        <v>302.74</v>
      </c>
      <c r="C68" s="5">
        <f t="shared" ca="1" si="0"/>
        <v>4.0048376296609942E-3</v>
      </c>
    </row>
    <row r="69" spans="1:3" ht="13" x14ac:dyDescent="0.15">
      <c r="A69" s="3">
        <f ca="1">IFERROR(__xludf.DUMMYFUNCTION("""COMPUTED_VALUE"""),40535.6666666666)</f>
        <v>40535.666666666599</v>
      </c>
      <c r="B69" s="4">
        <f ca="1">IFERROR(__xludf.DUMMYFUNCTION("""COMPUTED_VALUE"""),302.11)</f>
        <v>302.11</v>
      </c>
      <c r="C69" s="5">
        <f t="shared" ca="1" si="0"/>
        <v>-2.083161867659927E-3</v>
      </c>
    </row>
    <row r="70" spans="1:3" ht="13" x14ac:dyDescent="0.15">
      <c r="A70" s="3">
        <f ca="1">IFERROR(__xludf.DUMMYFUNCTION("""COMPUTED_VALUE"""),40539.6666666666)</f>
        <v>40539.666666666599</v>
      </c>
      <c r="B70" s="4">
        <f ca="1">IFERROR(__xludf.DUMMYFUNCTION("""COMPUTED_VALUE"""),301.19)</f>
        <v>301.19</v>
      </c>
      <c r="C70" s="5">
        <f t="shared" ca="1" si="0"/>
        <v>-3.0498946233791079E-3</v>
      </c>
    </row>
    <row r="71" spans="1:3" ht="13" x14ac:dyDescent="0.15">
      <c r="A71" s="3">
        <f ca="1">IFERROR(__xludf.DUMMYFUNCTION("""COMPUTED_VALUE"""),40540.6666666666)</f>
        <v>40540.666666666599</v>
      </c>
      <c r="B71" s="4">
        <f ca="1">IFERROR(__xludf.DUMMYFUNCTION("""COMPUTED_VALUE"""),299.45)</f>
        <v>299.45</v>
      </c>
      <c r="C71" s="5">
        <f t="shared" ca="1" si="0"/>
        <v>-5.7938361329088325E-3</v>
      </c>
    </row>
    <row r="72" spans="1:3" ht="13" x14ac:dyDescent="0.15">
      <c r="A72" s="3">
        <f ca="1">IFERROR(__xludf.DUMMYFUNCTION("""COMPUTED_VALUE"""),40541.6666666666)</f>
        <v>40541.666666666599</v>
      </c>
      <c r="B72" s="4">
        <f ca="1">IFERROR(__xludf.DUMMYFUNCTION("""COMPUTED_VALUE"""),300.5)</f>
        <v>300.5</v>
      </c>
      <c r="C72" s="5">
        <f t="shared" ca="1" si="0"/>
        <v>3.5002952647909869E-3</v>
      </c>
    </row>
    <row r="73" spans="1:3" ht="13" x14ac:dyDescent="0.15">
      <c r="A73" s="3">
        <f ca="1">IFERROR(__xludf.DUMMYFUNCTION("""COMPUTED_VALUE"""),40542.6666666666)</f>
        <v>40542.666666666599</v>
      </c>
      <c r="B73" s="4">
        <f ca="1">IFERROR(__xludf.DUMMYFUNCTION("""COMPUTED_VALUE"""),299.43)</f>
        <v>299.43</v>
      </c>
      <c r="C73" s="5">
        <f t="shared" ca="1" si="0"/>
        <v>-3.5670866086575524E-3</v>
      </c>
    </row>
    <row r="74" spans="1:3" ht="13" x14ac:dyDescent="0.15">
      <c r="A74" s="3">
        <f ca="1">IFERROR(__xludf.DUMMYFUNCTION("""COMPUTED_VALUE"""),40543.6666666666)</f>
        <v>40543.666666666599</v>
      </c>
      <c r="B74" s="4">
        <f ca="1">IFERROR(__xludf.DUMMYFUNCTION("""COMPUTED_VALUE"""),296.98)</f>
        <v>296.98</v>
      </c>
      <c r="C74" s="5">
        <f t="shared" ca="1" si="0"/>
        <v>-8.2158708986892724E-3</v>
      </c>
    </row>
    <row r="75" spans="1:3" ht="13" x14ac:dyDescent="0.15">
      <c r="A75" s="3">
        <f ca="1">IFERROR(__xludf.DUMMYFUNCTION("""COMPUTED_VALUE"""),40546.6666666666)</f>
        <v>40546.666666666599</v>
      </c>
      <c r="B75" s="4">
        <f ca="1">IFERROR(__xludf.DUMMYFUNCTION("""COMPUTED_VALUE"""),302.17)</f>
        <v>302.17</v>
      </c>
      <c r="C75" s="5">
        <f t="shared" ca="1" si="0"/>
        <v>1.7324976437637571E-2</v>
      </c>
    </row>
    <row r="76" spans="1:3" ht="13" x14ac:dyDescent="0.15">
      <c r="A76" s="3">
        <f ca="1">IFERROR(__xludf.DUMMYFUNCTION("""COMPUTED_VALUE"""),40547.6666666666)</f>
        <v>40547.666666666599</v>
      </c>
      <c r="B76" s="4">
        <f ca="1">IFERROR(__xludf.DUMMYFUNCTION("""COMPUTED_VALUE"""),301.06)</f>
        <v>301.06</v>
      </c>
      <c r="C76" s="5">
        <f t="shared" ca="1" si="0"/>
        <v>-3.6801924731951754E-3</v>
      </c>
    </row>
    <row r="77" spans="1:3" ht="13" x14ac:dyDescent="0.15">
      <c r="A77" s="3">
        <f ca="1">IFERROR(__xludf.DUMMYFUNCTION("""COMPUTED_VALUE"""),40548.6666666666)</f>
        <v>40548.666666666599</v>
      </c>
      <c r="B77" s="4">
        <f ca="1">IFERROR(__xludf.DUMMYFUNCTION("""COMPUTED_VALUE"""),304.53)</f>
        <v>304.52999999999997</v>
      </c>
      <c r="C77" s="5">
        <f t="shared" ca="1" si="0"/>
        <v>1.1460024032091481E-2</v>
      </c>
    </row>
    <row r="78" spans="1:3" ht="13" x14ac:dyDescent="0.15">
      <c r="A78" s="3">
        <f ca="1">IFERROR(__xludf.DUMMYFUNCTION("""COMPUTED_VALUE"""),40549.6666666666)</f>
        <v>40549.666666666599</v>
      </c>
      <c r="B78" s="4">
        <f ca="1">IFERROR(__xludf.DUMMYFUNCTION("""COMPUTED_VALUE"""),306.75)</f>
        <v>306.75</v>
      </c>
      <c r="C78" s="5">
        <f t="shared" ca="1" si="0"/>
        <v>7.263479126571484E-3</v>
      </c>
    </row>
    <row r="79" spans="1:3" ht="13" x14ac:dyDescent="0.15">
      <c r="A79" s="3">
        <f ca="1">IFERROR(__xludf.DUMMYFUNCTION("""COMPUTED_VALUE"""),40550.6666666666)</f>
        <v>40550.666666666599</v>
      </c>
      <c r="B79" s="4">
        <f ca="1">IFERROR(__xludf.DUMMYFUNCTION("""COMPUTED_VALUE"""),308.22)</f>
        <v>308.22000000000003</v>
      </c>
      <c r="C79" s="5">
        <f t="shared" ca="1" si="0"/>
        <v>4.7807301162107211E-3</v>
      </c>
    </row>
    <row r="80" spans="1:3" ht="13" x14ac:dyDescent="0.15">
      <c r="A80" s="3">
        <f ca="1">IFERROR(__xludf.DUMMYFUNCTION("""COMPUTED_VALUE"""),40553.6666666666)</f>
        <v>40553.666666666599</v>
      </c>
      <c r="B80" s="4">
        <f ca="1">IFERROR(__xludf.DUMMYFUNCTION("""COMPUTED_VALUE"""),307.1)</f>
        <v>307.10000000000002</v>
      </c>
      <c r="C80" s="5">
        <f t="shared" ca="1" si="0"/>
        <v>-3.6403862604547882E-3</v>
      </c>
    </row>
    <row r="81" spans="1:3" ht="13" x14ac:dyDescent="0.15">
      <c r="A81" s="3">
        <f ca="1">IFERROR(__xludf.DUMMYFUNCTION("""COMPUTED_VALUE"""),40554.6666666666)</f>
        <v>40554.666666666599</v>
      </c>
      <c r="B81" s="4">
        <f ca="1">IFERROR(__xludf.DUMMYFUNCTION("""COMPUTED_VALUE"""),308)</f>
        <v>308</v>
      </c>
      <c r="C81" s="5">
        <f t="shared" ca="1" si="0"/>
        <v>2.9263555267976531E-3</v>
      </c>
    </row>
    <row r="82" spans="1:3" ht="13" x14ac:dyDescent="0.15">
      <c r="A82" s="3">
        <f ca="1">IFERROR(__xludf.DUMMYFUNCTION("""COMPUTED_VALUE"""),40555.6666666666)</f>
        <v>40555.666666666599</v>
      </c>
      <c r="B82" s="4">
        <f ca="1">IFERROR(__xludf.DUMMYFUNCTION("""COMPUTED_VALUE"""),308.43)</f>
        <v>308.43</v>
      </c>
      <c r="C82" s="5">
        <f t="shared" ca="1" si="0"/>
        <v>1.3951302491623776E-3</v>
      </c>
    </row>
    <row r="83" spans="1:3" ht="13" x14ac:dyDescent="0.15">
      <c r="A83" s="3">
        <f ca="1">IFERROR(__xludf.DUMMYFUNCTION("""COMPUTED_VALUE"""),40556.6666666666)</f>
        <v>40556.666666666599</v>
      </c>
      <c r="B83" s="4">
        <f ca="1">IFERROR(__xludf.DUMMYFUNCTION("""COMPUTED_VALUE"""),308.34)</f>
        <v>308.33999999999997</v>
      </c>
      <c r="C83" s="5">
        <f t="shared" ca="1" si="0"/>
        <v>-2.9184299054376832E-4</v>
      </c>
    </row>
    <row r="84" spans="1:3" ht="13" x14ac:dyDescent="0.15">
      <c r="A84" s="3">
        <f ca="1">IFERROR(__xludf.DUMMYFUNCTION("""COMPUTED_VALUE"""),40557.6666666666)</f>
        <v>40557.666666666599</v>
      </c>
      <c r="B84" s="4">
        <f ca="1">IFERROR(__xludf.DUMMYFUNCTION("""COMPUTED_VALUE"""),312.08)</f>
        <v>312.08</v>
      </c>
      <c r="C84" s="5">
        <f t="shared" ca="1" si="0"/>
        <v>1.2056494966207781E-2</v>
      </c>
    </row>
    <row r="85" spans="1:3" ht="13" x14ac:dyDescent="0.15">
      <c r="A85" s="3">
        <f ca="1">IFERROR(__xludf.DUMMYFUNCTION("""COMPUTED_VALUE"""),40561.6666666666)</f>
        <v>40561.666666666599</v>
      </c>
      <c r="B85" s="4">
        <f ca="1">IFERROR(__xludf.DUMMYFUNCTION("""COMPUTED_VALUE"""),319.81)</f>
        <v>319.81</v>
      </c>
      <c r="C85" s="5">
        <f t="shared" ca="1" si="0"/>
        <v>2.4467504256035565E-2</v>
      </c>
    </row>
    <row r="86" spans="1:3" ht="13" x14ac:dyDescent="0.15">
      <c r="A86" s="3">
        <f ca="1">IFERROR(__xludf.DUMMYFUNCTION("""COMPUTED_VALUE"""),40562.6666666666)</f>
        <v>40562.666666666599</v>
      </c>
      <c r="B86" s="4">
        <f ca="1">IFERROR(__xludf.DUMMYFUNCTION("""COMPUTED_VALUE"""),315.87)</f>
        <v>315.87</v>
      </c>
      <c r="C86" s="5">
        <f t="shared" ca="1" si="0"/>
        <v>-1.2396332917658816E-2</v>
      </c>
    </row>
    <row r="87" spans="1:3" ht="13" x14ac:dyDescent="0.15">
      <c r="A87" s="3">
        <f ca="1">IFERROR(__xludf.DUMMYFUNCTION("""COMPUTED_VALUE"""),40563.6666666666)</f>
        <v>40563.666666666599</v>
      </c>
      <c r="B87" s="4">
        <f ca="1">IFERROR(__xludf.DUMMYFUNCTION("""COMPUTED_VALUE"""),313.38)</f>
        <v>313.38</v>
      </c>
      <c r="C87" s="5">
        <f t="shared" ca="1" si="0"/>
        <v>-7.9142248605152728E-3</v>
      </c>
    </row>
    <row r="88" spans="1:3" ht="13" x14ac:dyDescent="0.15">
      <c r="A88" s="3">
        <f ca="1">IFERROR(__xludf.DUMMYFUNCTION("""COMPUTED_VALUE"""),40564.6666666666)</f>
        <v>40564.666666666599</v>
      </c>
      <c r="B88" s="4">
        <f ca="1">IFERROR(__xludf.DUMMYFUNCTION("""COMPUTED_VALUE"""),305.91)</f>
        <v>305.91000000000003</v>
      </c>
      <c r="C88" s="5">
        <f t="shared" ca="1" si="0"/>
        <v>-2.4125570632018298E-2</v>
      </c>
    </row>
    <row r="89" spans="1:3" ht="13" x14ac:dyDescent="0.15">
      <c r="A89" s="3">
        <f ca="1">IFERROR(__xludf.DUMMYFUNCTION("""COMPUTED_VALUE"""),40567.6666666666)</f>
        <v>40567.666666666599</v>
      </c>
      <c r="B89" s="4">
        <f ca="1">IFERROR(__xludf.DUMMYFUNCTION("""COMPUTED_VALUE"""),305.54)</f>
        <v>305.54000000000002</v>
      </c>
      <c r="C89" s="5">
        <f t="shared" ca="1" si="0"/>
        <v>-1.210238106667316E-3</v>
      </c>
    </row>
    <row r="90" spans="1:3" ht="13" x14ac:dyDescent="0.15">
      <c r="A90" s="3">
        <f ca="1">IFERROR(__xludf.DUMMYFUNCTION("""COMPUTED_VALUE"""),40568.6666666666)</f>
        <v>40568.666666666599</v>
      </c>
      <c r="B90" s="4">
        <f ca="1">IFERROR(__xludf.DUMMYFUNCTION("""COMPUTED_VALUE"""),309.95)</f>
        <v>309.95</v>
      </c>
      <c r="C90" s="5">
        <f t="shared" ca="1" si="0"/>
        <v>1.4330291210351655E-2</v>
      </c>
    </row>
    <row r="91" spans="1:3" ht="13" x14ac:dyDescent="0.15">
      <c r="A91" s="3">
        <f ca="1">IFERROR(__xludf.DUMMYFUNCTION("""COMPUTED_VALUE"""),40569.6666666666)</f>
        <v>40569.666666666599</v>
      </c>
      <c r="B91" s="4">
        <f ca="1">IFERROR(__xludf.DUMMYFUNCTION("""COMPUTED_VALUE"""),308.25)</f>
        <v>308.25</v>
      </c>
      <c r="C91" s="5">
        <f t="shared" ca="1" si="0"/>
        <v>-5.4998521034746598E-3</v>
      </c>
    </row>
    <row r="92" spans="1:3" ht="13" x14ac:dyDescent="0.15">
      <c r="A92" s="3">
        <f ca="1">IFERROR(__xludf.DUMMYFUNCTION("""COMPUTED_VALUE"""),40570.6666666666)</f>
        <v>40570.666666666599</v>
      </c>
      <c r="B92" s="4">
        <f ca="1">IFERROR(__xludf.DUMMYFUNCTION("""COMPUTED_VALUE"""),308.39)</f>
        <v>308.39</v>
      </c>
      <c r="C92" s="5">
        <f t="shared" ca="1" si="0"/>
        <v>4.5407369747478066E-4</v>
      </c>
    </row>
    <row r="93" spans="1:3" ht="13" x14ac:dyDescent="0.15">
      <c r="A93" s="3">
        <f ca="1">IFERROR(__xludf.DUMMYFUNCTION("""COMPUTED_VALUE"""),40571.6666666666)</f>
        <v>40571.666666666599</v>
      </c>
      <c r="B93" s="4">
        <f ca="1">IFERROR(__xludf.DUMMYFUNCTION("""COMPUTED_VALUE"""),300.49)</f>
        <v>300.49</v>
      </c>
      <c r="C93" s="5">
        <f t="shared" ca="1" si="0"/>
        <v>-2.59507401906032E-2</v>
      </c>
    </row>
    <row r="94" spans="1:3" ht="13" x14ac:dyDescent="0.15">
      <c r="A94" s="3">
        <f ca="1">IFERROR(__xludf.DUMMYFUNCTION("""COMPUTED_VALUE"""),40574.6666666666)</f>
        <v>40574.666666666599</v>
      </c>
      <c r="B94" s="4">
        <f ca="1">IFERROR(__xludf.DUMMYFUNCTION("""COMPUTED_VALUE"""),300.18)</f>
        <v>300.18</v>
      </c>
      <c r="C94" s="5">
        <f t="shared" ca="1" si="0"/>
        <v>-1.0321808231567283E-3</v>
      </c>
    </row>
    <row r="95" spans="1:3" ht="13" x14ac:dyDescent="0.15">
      <c r="A95" s="3">
        <f ca="1">IFERROR(__xludf.DUMMYFUNCTION("""COMPUTED_VALUE"""),40575.6666666666)</f>
        <v>40575.666666666599</v>
      </c>
      <c r="B95" s="4">
        <f ca="1">IFERROR(__xludf.DUMMYFUNCTION("""COMPUTED_VALUE"""),305.51)</f>
        <v>305.51</v>
      </c>
      <c r="C95" s="5">
        <f t="shared" ca="1" si="0"/>
        <v>1.7600216571983497E-2</v>
      </c>
    </row>
    <row r="96" spans="1:3" ht="13" x14ac:dyDescent="0.15">
      <c r="A96" s="3">
        <f ca="1">IFERROR(__xludf.DUMMYFUNCTION("""COMPUTED_VALUE"""),40576.6666666666)</f>
        <v>40576.666666666599</v>
      </c>
      <c r="B96" s="4">
        <f ca="1">IFERROR(__xludf.DUMMYFUNCTION("""COMPUTED_VALUE"""),306)</f>
        <v>306</v>
      </c>
      <c r="C96" s="5">
        <f t="shared" ca="1" si="0"/>
        <v>1.602590652228476E-3</v>
      </c>
    </row>
    <row r="97" spans="1:3" ht="13" x14ac:dyDescent="0.15">
      <c r="A97" s="3">
        <f ca="1">IFERROR(__xludf.DUMMYFUNCTION("""COMPUTED_VALUE"""),40577.6666666666)</f>
        <v>40577.666666666599</v>
      </c>
      <c r="B97" s="4">
        <f ca="1">IFERROR(__xludf.DUMMYFUNCTION("""COMPUTED_VALUE"""),305.07)</f>
        <v>305.07</v>
      </c>
      <c r="C97" s="5">
        <f t="shared" ca="1" si="0"/>
        <v>-3.0438434812250178E-3</v>
      </c>
    </row>
    <row r="98" spans="1:3" ht="13" x14ac:dyDescent="0.15">
      <c r="A98" s="3">
        <f ca="1">IFERROR(__xludf.DUMMYFUNCTION("""COMPUTED_VALUE"""),40578.6666666666)</f>
        <v>40578.666666666599</v>
      </c>
      <c r="B98" s="4">
        <f ca="1">IFERROR(__xludf.DUMMYFUNCTION("""COMPUTED_VALUE"""),305.48)</f>
        <v>305.48</v>
      </c>
      <c r="C98" s="5">
        <f t="shared" ca="1" si="0"/>
        <v>1.3430515490276611E-3</v>
      </c>
    </row>
    <row r="99" spans="1:3" ht="13" x14ac:dyDescent="0.15">
      <c r="A99" s="3">
        <f ca="1">IFERROR(__xludf.DUMMYFUNCTION("""COMPUTED_VALUE"""),40581.6666666666)</f>
        <v>40581.666666666599</v>
      </c>
      <c r="B99" s="4">
        <f ca="1">IFERROR(__xludf.DUMMYFUNCTION("""COMPUTED_VALUE"""),307.14)</f>
        <v>307.14</v>
      </c>
      <c r="C99" s="5">
        <f t="shared" ca="1" si="0"/>
        <v>5.4193596773634833E-3</v>
      </c>
    </row>
    <row r="100" spans="1:3" ht="13" x14ac:dyDescent="0.15">
      <c r="A100" s="3">
        <f ca="1">IFERROR(__xludf.DUMMYFUNCTION("""COMPUTED_VALUE"""),40582.6666666666)</f>
        <v>40582.666666666599</v>
      </c>
      <c r="B100" s="4">
        <f ca="1">IFERROR(__xludf.DUMMYFUNCTION("""COMPUTED_VALUE"""),309.19)</f>
        <v>309.19</v>
      </c>
      <c r="C100" s="5">
        <f t="shared" ca="1" si="0"/>
        <v>6.6523049662014612E-3</v>
      </c>
    </row>
    <row r="101" spans="1:3" ht="13" x14ac:dyDescent="0.15">
      <c r="A101" s="3">
        <f ca="1">IFERROR(__xludf.DUMMYFUNCTION("""COMPUTED_VALUE"""),40583.6666666666)</f>
        <v>40583.666666666599</v>
      </c>
      <c r="B101" s="4">
        <f ca="1">IFERROR(__xludf.DUMMYFUNCTION("""COMPUTED_VALUE"""),308.25)</f>
        <v>308.25</v>
      </c>
      <c r="C101" s="5">
        <f t="shared" ca="1" si="0"/>
        <v>-3.0448326192946654E-3</v>
      </c>
    </row>
    <row r="102" spans="1:3" ht="13" x14ac:dyDescent="0.15">
      <c r="A102" s="3">
        <f ca="1">IFERROR(__xludf.DUMMYFUNCTION("""COMPUTED_VALUE"""),40584.6666666666)</f>
        <v>40584.666666666599</v>
      </c>
      <c r="B102" s="4">
        <f ca="1">IFERROR(__xludf.DUMMYFUNCTION("""COMPUTED_VALUE"""),308.22)</f>
        <v>308.22000000000003</v>
      </c>
      <c r="C102" s="5">
        <f t="shared" ca="1" si="0"/>
        <v>-9.7328337222097523E-5</v>
      </c>
    </row>
    <row r="103" spans="1:3" ht="13" x14ac:dyDescent="0.15">
      <c r="A103" s="3">
        <f ca="1">IFERROR(__xludf.DUMMYFUNCTION("""COMPUTED_VALUE"""),40585.6666666666)</f>
        <v>40585.666666666599</v>
      </c>
      <c r="B103" s="4">
        <f ca="1">IFERROR(__xludf.DUMMYFUNCTION("""COMPUTED_VALUE"""),312.25)</f>
        <v>312.25</v>
      </c>
      <c r="C103" s="5">
        <f t="shared" ca="1" si="0"/>
        <v>1.2990335298455533E-2</v>
      </c>
    </row>
    <row r="104" spans="1:3" ht="13" x14ac:dyDescent="0.15">
      <c r="A104" s="3">
        <f ca="1">IFERROR(__xludf.DUMMYFUNCTION("""COMPUTED_VALUE"""),40588.6666666666)</f>
        <v>40588.666666666599</v>
      </c>
      <c r="B104" s="4">
        <f ca="1">IFERROR(__xludf.DUMMYFUNCTION("""COMPUTED_VALUE"""),314.07)</f>
        <v>314.07</v>
      </c>
      <c r="C104" s="5">
        <f t="shared" ca="1" si="0"/>
        <v>5.8117419936862796E-3</v>
      </c>
    </row>
    <row r="105" spans="1:3" ht="13" x14ac:dyDescent="0.15">
      <c r="A105" s="3">
        <f ca="1">IFERROR(__xludf.DUMMYFUNCTION("""COMPUTED_VALUE"""),40589.6666666666)</f>
        <v>40589.666666666599</v>
      </c>
      <c r="B105" s="4">
        <f ca="1">IFERROR(__xludf.DUMMYFUNCTION("""COMPUTED_VALUE"""),312.07)</f>
        <v>312.07</v>
      </c>
      <c r="C105" s="5">
        <f t="shared" ca="1" si="0"/>
        <v>-6.3883693802427657E-3</v>
      </c>
    </row>
    <row r="106" spans="1:3" ht="13" x14ac:dyDescent="0.15">
      <c r="A106" s="3">
        <f ca="1">IFERROR(__xludf.DUMMYFUNCTION("""COMPUTED_VALUE"""),40590.6666666666)</f>
        <v>40590.666666666599</v>
      </c>
      <c r="B106" s="4">
        <f ca="1">IFERROR(__xludf.DUMMYFUNCTION("""COMPUTED_VALUE"""),312.1)</f>
        <v>312.10000000000002</v>
      </c>
      <c r="C106" s="5">
        <f t="shared" ca="1" si="0"/>
        <v>9.612765760331113E-5</v>
      </c>
    </row>
    <row r="107" spans="1:3" ht="13" x14ac:dyDescent="0.15">
      <c r="A107" s="3">
        <f ca="1">IFERROR(__xludf.DUMMYFUNCTION("""COMPUTED_VALUE"""),40591.6666666666)</f>
        <v>40591.666666666599</v>
      </c>
      <c r="B107" s="4">
        <f ca="1">IFERROR(__xludf.DUMMYFUNCTION("""COMPUTED_VALUE"""),312.63)</f>
        <v>312.63</v>
      </c>
      <c r="C107" s="5">
        <f t="shared" ca="1" si="0"/>
        <v>1.6967333957119677E-3</v>
      </c>
    </row>
    <row r="108" spans="1:3" ht="13" x14ac:dyDescent="0.15">
      <c r="A108" s="3">
        <f ca="1">IFERROR(__xludf.DUMMYFUNCTION("""COMPUTED_VALUE"""),40592.6666666666)</f>
        <v>40592.666666666599</v>
      </c>
      <c r="B108" s="4">
        <f ca="1">IFERROR(__xludf.DUMMYFUNCTION("""COMPUTED_VALUE"""),315.04)</f>
        <v>315.04000000000002</v>
      </c>
      <c r="C108" s="5">
        <f t="shared" ca="1" si="0"/>
        <v>7.6792322183696724E-3</v>
      </c>
    </row>
    <row r="109" spans="1:3" ht="13" x14ac:dyDescent="0.15">
      <c r="A109" s="3">
        <f ca="1">IFERROR(__xludf.DUMMYFUNCTION("""COMPUTED_VALUE"""),40596.6666666666)</f>
        <v>40596.666666666599</v>
      </c>
      <c r="B109" s="4">
        <f ca="1">IFERROR(__xludf.DUMMYFUNCTION("""COMPUTED_VALUE"""),305.1)</f>
        <v>305.10000000000002</v>
      </c>
      <c r="C109" s="5">
        <f t="shared" ca="1" si="0"/>
        <v>-3.2060023168191398E-2</v>
      </c>
    </row>
    <row r="110" spans="1:3" ht="13" x14ac:dyDescent="0.15">
      <c r="A110" s="3">
        <f ca="1">IFERROR(__xludf.DUMMYFUNCTION("""COMPUTED_VALUE"""),40597.6666666666)</f>
        <v>40597.666666666599</v>
      </c>
      <c r="B110" s="4">
        <f ca="1">IFERROR(__xludf.DUMMYFUNCTION("""COMPUTED_VALUE"""),305.66)</f>
        <v>305.66000000000003</v>
      </c>
      <c r="C110" s="5">
        <f t="shared" ca="1" si="0"/>
        <v>1.8337813770664406E-3</v>
      </c>
    </row>
    <row r="111" spans="1:3" ht="13" x14ac:dyDescent="0.15">
      <c r="A111" s="3">
        <f ca="1">IFERROR(__xludf.DUMMYFUNCTION("""COMPUTED_VALUE"""),40598.6666666666)</f>
        <v>40598.666666666599</v>
      </c>
      <c r="B111" s="4">
        <f ca="1">IFERROR(__xludf.DUMMYFUNCTION("""COMPUTED_VALUE"""),304.41)</f>
        <v>304.41000000000003</v>
      </c>
      <c r="C111" s="5">
        <f t="shared" ca="1" si="0"/>
        <v>-4.0978961405891178E-3</v>
      </c>
    </row>
    <row r="112" spans="1:3" ht="13" x14ac:dyDescent="0.15">
      <c r="A112" s="3">
        <f ca="1">IFERROR(__xludf.DUMMYFUNCTION("""COMPUTED_VALUE"""),40599.6666666666)</f>
        <v>40599.666666666599</v>
      </c>
      <c r="B112" s="4">
        <f ca="1">IFERROR(__xludf.DUMMYFUNCTION("""COMPUTED_VALUE"""),305.01)</f>
        <v>305.01</v>
      </c>
      <c r="C112" s="5">
        <f t="shared" ca="1" si="0"/>
        <v>1.9690859960779833E-3</v>
      </c>
    </row>
    <row r="113" spans="1:3" ht="13" x14ac:dyDescent="0.15">
      <c r="A113" s="3">
        <f ca="1">IFERROR(__xludf.DUMMYFUNCTION("""COMPUTED_VALUE"""),40602.6666666666)</f>
        <v>40602.666666666599</v>
      </c>
      <c r="B113" s="4">
        <f ca="1">IFERROR(__xludf.DUMMYFUNCTION("""COMPUTED_VALUE"""),306.7)</f>
        <v>306.7</v>
      </c>
      <c r="C113" s="5">
        <f t="shared" ca="1" si="0"/>
        <v>5.5255081650265221E-3</v>
      </c>
    </row>
    <row r="114" spans="1:3" ht="13" x14ac:dyDescent="0.15">
      <c r="A114" s="3">
        <f ca="1">IFERROR(__xludf.DUMMYFUNCTION("""COMPUTED_VALUE"""),40603.6666666666)</f>
        <v>40603.666666666599</v>
      </c>
      <c r="B114" s="4">
        <f ca="1">IFERROR(__xludf.DUMMYFUNCTION("""COMPUTED_VALUE"""),300.38)</f>
        <v>300.38</v>
      </c>
      <c r="C114" s="5">
        <f t="shared" ca="1" si="0"/>
        <v>-2.0821731342771113E-2</v>
      </c>
    </row>
    <row r="115" spans="1:3" ht="13" x14ac:dyDescent="0.15">
      <c r="A115" s="3">
        <f ca="1">IFERROR(__xludf.DUMMYFUNCTION("""COMPUTED_VALUE"""),40604.6666666666)</f>
        <v>40604.666666666599</v>
      </c>
      <c r="B115" s="4">
        <f ca="1">IFERROR(__xludf.DUMMYFUNCTION("""COMPUTED_VALUE"""),300.39)</f>
        <v>300.39</v>
      </c>
      <c r="C115" s="5">
        <f t="shared" ca="1" si="0"/>
        <v>3.3290610386365429E-5</v>
      </c>
    </row>
    <row r="116" spans="1:3" ht="13" x14ac:dyDescent="0.15">
      <c r="A116" s="3">
        <f ca="1">IFERROR(__xludf.DUMMYFUNCTION("""COMPUTED_VALUE"""),40605.6666666666)</f>
        <v>40605.666666666599</v>
      </c>
      <c r="B116" s="4">
        <f ca="1">IFERROR(__xludf.DUMMYFUNCTION("""COMPUTED_VALUE"""),304.77)</f>
        <v>304.77</v>
      </c>
      <c r="C116" s="5">
        <f t="shared" ca="1" si="0"/>
        <v>1.4475763383742131E-2</v>
      </c>
    </row>
    <row r="117" spans="1:3" ht="13" x14ac:dyDescent="0.15">
      <c r="A117" s="3">
        <f ca="1">IFERROR(__xludf.DUMMYFUNCTION("""COMPUTED_VALUE"""),40606.6666666666)</f>
        <v>40606.666666666599</v>
      </c>
      <c r="B117" s="4">
        <f ca="1">IFERROR(__xludf.DUMMYFUNCTION("""COMPUTED_VALUE"""),300.31)</f>
        <v>300.31</v>
      </c>
      <c r="C117" s="5">
        <f t="shared" ca="1" si="0"/>
        <v>-1.4742119303412354E-2</v>
      </c>
    </row>
    <row r="118" spans="1:3" ht="13" x14ac:dyDescent="0.15">
      <c r="A118" s="3">
        <f ca="1">IFERROR(__xludf.DUMMYFUNCTION("""COMPUTED_VALUE"""),40609.6666666666)</f>
        <v>40609.666666666599</v>
      </c>
      <c r="B118" s="4">
        <f ca="1">IFERROR(__xludf.DUMMYFUNCTION("""COMPUTED_VALUE"""),295.82)</f>
        <v>295.82</v>
      </c>
      <c r="C118" s="5">
        <f t="shared" ca="1" si="0"/>
        <v>-1.5064113224926897E-2</v>
      </c>
    </row>
    <row r="119" spans="1:3" ht="13" x14ac:dyDescent="0.15">
      <c r="A119" s="3">
        <f ca="1">IFERROR(__xludf.DUMMYFUNCTION("""COMPUTED_VALUE"""),40610.6666666666)</f>
        <v>40610.666666666599</v>
      </c>
      <c r="B119" s="4">
        <f ca="1">IFERROR(__xludf.DUMMYFUNCTION("""COMPUTED_VALUE"""),296.15)</f>
        <v>296.14999999999998</v>
      </c>
      <c r="C119" s="5">
        <f t="shared" ca="1" si="0"/>
        <v>1.1149214797502296E-3</v>
      </c>
    </row>
    <row r="120" spans="1:3" ht="13" x14ac:dyDescent="0.15">
      <c r="A120" s="3">
        <f ca="1">IFERROR(__xludf.DUMMYFUNCTION("""COMPUTED_VALUE"""),40611.6666666666)</f>
        <v>40611.666666666599</v>
      </c>
      <c r="B120" s="4">
        <f ca="1">IFERROR(__xludf.DUMMYFUNCTION("""COMPUTED_VALUE"""),295.88)</f>
        <v>295.88</v>
      </c>
      <c r="C120" s="5">
        <f t="shared" ca="1" si="0"/>
        <v>-9.1211600330721012E-4</v>
      </c>
    </row>
    <row r="121" spans="1:3" ht="13" x14ac:dyDescent="0.15">
      <c r="A121" s="3">
        <f ca="1">IFERROR(__xludf.DUMMYFUNCTION("""COMPUTED_VALUE"""),40612.6666666666)</f>
        <v>40612.666666666599</v>
      </c>
      <c r="B121" s="4">
        <f ca="1">IFERROR(__xludf.DUMMYFUNCTION("""COMPUTED_VALUE"""),290.14)</f>
        <v>290.14</v>
      </c>
      <c r="C121" s="5">
        <f t="shared" ca="1" si="0"/>
        <v>-1.9590401608910828E-2</v>
      </c>
    </row>
    <row r="122" spans="1:3" ht="13" x14ac:dyDescent="0.15">
      <c r="A122" s="3">
        <f ca="1">IFERROR(__xludf.DUMMYFUNCTION("""COMPUTED_VALUE"""),40613.6666666666)</f>
        <v>40613.666666666599</v>
      </c>
      <c r="B122" s="4">
        <f ca="1">IFERROR(__xludf.DUMMYFUNCTION("""COMPUTED_VALUE"""),288.35)</f>
        <v>288.35000000000002</v>
      </c>
      <c r="C122" s="5">
        <f t="shared" ca="1" si="0"/>
        <v>-6.1885450493343926E-3</v>
      </c>
    </row>
    <row r="123" spans="1:3" ht="13" x14ac:dyDescent="0.15">
      <c r="A123" s="3">
        <f ca="1">IFERROR(__xludf.DUMMYFUNCTION("""COMPUTED_VALUE"""),40616.6666666666)</f>
        <v>40616.666666666599</v>
      </c>
      <c r="B123" s="4">
        <f ca="1">IFERROR(__xludf.DUMMYFUNCTION("""COMPUTED_VALUE"""),284.99)</f>
        <v>284.99</v>
      </c>
      <c r="C123" s="5">
        <f t="shared" ca="1" si="0"/>
        <v>-1.1720928127657831E-2</v>
      </c>
    </row>
    <row r="124" spans="1:3" ht="13" x14ac:dyDescent="0.15">
      <c r="A124" s="3">
        <f ca="1">IFERROR(__xludf.DUMMYFUNCTION("""COMPUTED_VALUE"""),40617.6666666666)</f>
        <v>40617.666666666599</v>
      </c>
      <c r="B124" s="4">
        <f ca="1">IFERROR(__xludf.DUMMYFUNCTION("""COMPUTED_VALUE"""),284.77)</f>
        <v>284.77</v>
      </c>
      <c r="C124" s="5">
        <f t="shared" ca="1" si="0"/>
        <v>-7.7225502293466926E-4</v>
      </c>
    </row>
    <row r="125" spans="1:3" ht="13" x14ac:dyDescent="0.15">
      <c r="A125" s="3">
        <f ca="1">IFERROR(__xludf.DUMMYFUNCTION("""COMPUTED_VALUE"""),40618.6666666666)</f>
        <v>40618.666666666599</v>
      </c>
      <c r="B125" s="4">
        <f ca="1">IFERROR(__xludf.DUMMYFUNCTION("""COMPUTED_VALUE"""),278.55)</f>
        <v>278.55</v>
      </c>
      <c r="C125" s="5">
        <f t="shared" ca="1" si="0"/>
        <v>-2.2084260444004706E-2</v>
      </c>
    </row>
    <row r="126" spans="1:3" ht="13" x14ac:dyDescent="0.15">
      <c r="A126" s="3">
        <f ca="1">IFERROR(__xludf.DUMMYFUNCTION("""COMPUTED_VALUE"""),40619.6666666666)</f>
        <v>40619.666666666599</v>
      </c>
      <c r="B126" s="4">
        <f ca="1">IFERROR(__xludf.DUMMYFUNCTION("""COMPUTED_VALUE"""),280.68)</f>
        <v>280.68</v>
      </c>
      <c r="C126" s="5">
        <f t="shared" ca="1" si="0"/>
        <v>7.6176539172635414E-3</v>
      </c>
    </row>
    <row r="127" spans="1:3" ht="13" x14ac:dyDescent="0.15">
      <c r="A127" s="3">
        <f ca="1">IFERROR(__xludf.DUMMYFUNCTION("""COMPUTED_VALUE"""),40620.6666666666)</f>
        <v>40620.666666666599</v>
      </c>
      <c r="B127" s="4">
        <f ca="1">IFERROR(__xludf.DUMMYFUNCTION("""COMPUTED_VALUE"""),280.52)</f>
        <v>280.52</v>
      </c>
      <c r="C127" s="5">
        <f t="shared" ca="1" si="0"/>
        <v>-5.7020671537832089E-4</v>
      </c>
    </row>
    <row r="128" spans="1:3" ht="13" x14ac:dyDescent="0.15">
      <c r="A128" s="3">
        <f ca="1">IFERROR(__xludf.DUMMYFUNCTION("""COMPUTED_VALUE"""),40623.6666666666)</f>
        <v>40623.666666666599</v>
      </c>
      <c r="B128" s="4">
        <f ca="1">IFERROR(__xludf.DUMMYFUNCTION("""COMPUTED_VALUE"""),288.25)</f>
        <v>288.25</v>
      </c>
      <c r="C128" s="5">
        <f t="shared" ca="1" si="0"/>
        <v>2.7183135480458788E-2</v>
      </c>
    </row>
    <row r="129" spans="1:3" ht="13" x14ac:dyDescent="0.15">
      <c r="A129" s="3">
        <f ca="1">IFERROR(__xludf.DUMMYFUNCTION("""COMPUTED_VALUE"""),40624.6666666666)</f>
        <v>40624.666666666599</v>
      </c>
      <c r="B129" s="4">
        <f ca="1">IFERROR(__xludf.DUMMYFUNCTION("""COMPUTED_VALUE"""),288.66)</f>
        <v>288.66000000000003</v>
      </c>
      <c r="C129" s="5">
        <f t="shared" ca="1" si="0"/>
        <v>1.4213657902491044E-3</v>
      </c>
    </row>
    <row r="130" spans="1:3" ht="13" x14ac:dyDescent="0.15">
      <c r="A130" s="3">
        <f ca="1">IFERROR(__xludf.DUMMYFUNCTION("""COMPUTED_VALUE"""),40625.6666666666)</f>
        <v>40625.666666666599</v>
      </c>
      <c r="B130" s="4">
        <f ca="1">IFERROR(__xludf.DUMMYFUNCTION("""COMPUTED_VALUE"""),291.07)</f>
        <v>291.07</v>
      </c>
      <c r="C130" s="5">
        <f t="shared" ca="1" si="0"/>
        <v>8.3142631327827472E-3</v>
      </c>
    </row>
    <row r="131" spans="1:3" ht="13" x14ac:dyDescent="0.15">
      <c r="A131" s="3">
        <f ca="1">IFERROR(__xludf.DUMMYFUNCTION("""COMPUTED_VALUE"""),40626.6666666666)</f>
        <v>40626.666666666599</v>
      </c>
      <c r="B131" s="4">
        <f ca="1">IFERROR(__xludf.DUMMYFUNCTION("""COMPUTED_VALUE"""),293.44)</f>
        <v>293.44</v>
      </c>
      <c r="C131" s="5">
        <f t="shared" ca="1" si="0"/>
        <v>8.1094009958998792E-3</v>
      </c>
    </row>
    <row r="132" spans="1:3" ht="13" x14ac:dyDescent="0.15">
      <c r="A132" s="3">
        <f ca="1">IFERROR(__xludf.DUMMYFUNCTION("""COMPUTED_VALUE"""),40627.6666666666)</f>
        <v>40627.666666666599</v>
      </c>
      <c r="B132" s="4">
        <f ca="1">IFERROR(__xludf.DUMMYFUNCTION("""COMPUTED_VALUE"""),289.87)</f>
        <v>289.87</v>
      </c>
      <c r="C132" s="5">
        <f t="shared" ca="1" si="0"/>
        <v>-1.224064245531086E-2</v>
      </c>
    </row>
    <row r="133" spans="1:3" ht="13" x14ac:dyDescent="0.15">
      <c r="A133" s="3">
        <f ca="1">IFERROR(__xludf.DUMMYFUNCTION("""COMPUTED_VALUE"""),40630.6666666666)</f>
        <v>40630.666666666599</v>
      </c>
      <c r="B133" s="4">
        <f ca="1">IFERROR(__xludf.DUMMYFUNCTION("""COMPUTED_VALUE"""),287.68)</f>
        <v>287.68</v>
      </c>
      <c r="C133" s="5">
        <f t="shared" ca="1" si="0"/>
        <v>-7.5837953295337622E-3</v>
      </c>
    </row>
    <row r="134" spans="1:3" ht="13" x14ac:dyDescent="0.15">
      <c r="A134" s="3">
        <f ca="1">IFERROR(__xludf.DUMMYFUNCTION("""COMPUTED_VALUE"""),40631.6666666666)</f>
        <v>40631.666666666599</v>
      </c>
      <c r="B134" s="4">
        <f ca="1">IFERROR(__xludf.DUMMYFUNCTION("""COMPUTED_VALUE"""),290.86)</f>
        <v>290.86</v>
      </c>
      <c r="C134" s="5">
        <f t="shared" ca="1" si="0"/>
        <v>1.0993300466308652E-2</v>
      </c>
    </row>
    <row r="135" spans="1:3" ht="13" x14ac:dyDescent="0.15">
      <c r="A135" s="3">
        <f ca="1">IFERROR(__xludf.DUMMYFUNCTION("""COMPUTED_VALUE"""),40632.6666666666)</f>
        <v>40632.666666666599</v>
      </c>
      <c r="B135" s="4">
        <f ca="1">IFERROR(__xludf.DUMMYFUNCTION("""COMPUTED_VALUE"""),290.92)</f>
        <v>290.92</v>
      </c>
      <c r="C135" s="5">
        <f t="shared" ca="1" si="0"/>
        <v>2.0626353677578461E-4</v>
      </c>
    </row>
    <row r="136" spans="1:3" ht="13" x14ac:dyDescent="0.15">
      <c r="A136" s="3">
        <f ca="1">IFERROR(__xludf.DUMMYFUNCTION("""COMPUTED_VALUE"""),40633.6666666666)</f>
        <v>40633.666666666599</v>
      </c>
      <c r="B136" s="4">
        <f ca="1">IFERROR(__xludf.DUMMYFUNCTION("""COMPUTED_VALUE"""),293.38)</f>
        <v>293.38</v>
      </c>
      <c r="C136" s="5">
        <f t="shared" ca="1" si="0"/>
        <v>8.4203817732766313E-3</v>
      </c>
    </row>
    <row r="137" spans="1:3" ht="13" x14ac:dyDescent="0.15">
      <c r="A137" s="3">
        <f ca="1">IFERROR(__xludf.DUMMYFUNCTION("""COMPUTED_VALUE"""),40634.6666666666)</f>
        <v>40634.666666666599</v>
      </c>
      <c r="B137" s="4">
        <f ca="1">IFERROR(__xludf.DUMMYFUNCTION("""COMPUTED_VALUE"""),295.89)</f>
        <v>295.89</v>
      </c>
      <c r="C137" s="5">
        <f t="shared" ca="1" si="0"/>
        <v>8.5190665743951136E-3</v>
      </c>
    </row>
    <row r="138" spans="1:3" ht="13" x14ac:dyDescent="0.15">
      <c r="A138" s="3">
        <f ca="1">IFERROR(__xludf.DUMMYFUNCTION("""COMPUTED_VALUE"""),40637.6666666666)</f>
        <v>40637.666666666599</v>
      </c>
      <c r="B138" s="4">
        <f ca="1">IFERROR(__xludf.DUMMYFUNCTION("""COMPUTED_VALUE"""),293.83)</f>
        <v>293.83</v>
      </c>
      <c r="C138" s="5">
        <f t="shared" ca="1" si="0"/>
        <v>-6.9863948280331463E-3</v>
      </c>
    </row>
    <row r="139" spans="1:3" ht="13" x14ac:dyDescent="0.15">
      <c r="A139" s="3">
        <f ca="1">IFERROR(__xludf.DUMMYFUNCTION("""COMPUTED_VALUE"""),40638.6666666666)</f>
        <v>40638.666666666599</v>
      </c>
      <c r="B139" s="4">
        <f ca="1">IFERROR(__xludf.DUMMYFUNCTION("""COMPUTED_VALUE"""),284.54)</f>
        <v>284.54000000000002</v>
      </c>
      <c r="C139" s="5">
        <f t="shared" ca="1" si="0"/>
        <v>-3.2127527582957553E-2</v>
      </c>
    </row>
    <row r="140" spans="1:3" ht="13" x14ac:dyDescent="0.15">
      <c r="A140" s="3">
        <f ca="1">IFERROR(__xludf.DUMMYFUNCTION("""COMPUTED_VALUE"""),40639.6666666666)</f>
        <v>40639.666666666599</v>
      </c>
      <c r="B140" s="4">
        <f ca="1">IFERROR(__xludf.DUMMYFUNCTION("""COMPUTED_VALUE"""),287.08)</f>
        <v>287.08</v>
      </c>
      <c r="C140" s="5">
        <f t="shared" ca="1" si="0"/>
        <v>8.8870813388501144E-3</v>
      </c>
    </row>
    <row r="141" spans="1:3" ht="13" x14ac:dyDescent="0.15">
      <c r="A141" s="3">
        <f ca="1">IFERROR(__xludf.DUMMYFUNCTION("""COMPUTED_VALUE"""),40640.6666666666)</f>
        <v>40640.666666666599</v>
      </c>
      <c r="B141" s="4">
        <f ca="1">IFERROR(__xludf.DUMMYFUNCTION("""COMPUTED_VALUE"""),290)</f>
        <v>290</v>
      </c>
      <c r="C141" s="5">
        <f t="shared" ca="1" si="0"/>
        <v>1.0120000418648698E-2</v>
      </c>
    </row>
    <row r="142" spans="1:3" ht="13" x14ac:dyDescent="0.15">
      <c r="A142" s="3">
        <f ca="1">IFERROR(__xludf.DUMMYFUNCTION("""COMPUTED_VALUE"""),40641.6666666666)</f>
        <v>40641.666666666599</v>
      </c>
      <c r="B142" s="4">
        <f ca="1">IFERROR(__xludf.DUMMYFUNCTION("""COMPUTED_VALUE"""),289.07)</f>
        <v>289.07</v>
      </c>
      <c r="C142" s="5">
        <f t="shared" ca="1" si="0"/>
        <v>-3.2120496644196558E-3</v>
      </c>
    </row>
    <row r="143" spans="1:3" ht="13" x14ac:dyDescent="0.15">
      <c r="A143" s="3">
        <f ca="1">IFERROR(__xludf.DUMMYFUNCTION("""COMPUTED_VALUE"""),40644.6666666666)</f>
        <v>40644.666666666599</v>
      </c>
      <c r="B143" s="4">
        <f ca="1">IFERROR(__xludf.DUMMYFUNCTION("""COMPUTED_VALUE"""),288.68)</f>
        <v>288.68</v>
      </c>
      <c r="C143" s="5">
        <f t="shared" ca="1" si="0"/>
        <v>-1.3500651120275434E-3</v>
      </c>
    </row>
    <row r="144" spans="1:3" ht="13" x14ac:dyDescent="0.15">
      <c r="A144" s="3">
        <f ca="1">IFERROR(__xludf.DUMMYFUNCTION("""COMPUTED_VALUE"""),40645.6666666666)</f>
        <v>40645.666666666599</v>
      </c>
      <c r="B144" s="4">
        <f ca="1">IFERROR(__xludf.DUMMYFUNCTION("""COMPUTED_VALUE"""),285.3)</f>
        <v>285.3</v>
      </c>
      <c r="C144" s="5">
        <f t="shared" ca="1" si="0"/>
        <v>-1.1777549984618182E-2</v>
      </c>
    </row>
    <row r="145" spans="1:3" ht="13" x14ac:dyDescent="0.15">
      <c r="A145" s="3">
        <f ca="1">IFERROR(__xludf.DUMMYFUNCTION("""COMPUTED_VALUE"""),40646.6666666666)</f>
        <v>40646.666666666599</v>
      </c>
      <c r="B145" s="4">
        <f ca="1">IFERROR(__xludf.DUMMYFUNCTION("""COMPUTED_VALUE"""),288.14)</f>
        <v>288.14</v>
      </c>
      <c r="C145" s="5">
        <f t="shared" ca="1" si="0"/>
        <v>9.905214913872527E-3</v>
      </c>
    </row>
    <row r="146" spans="1:3" ht="13" x14ac:dyDescent="0.15">
      <c r="A146" s="3">
        <f ca="1">IFERROR(__xludf.DUMMYFUNCTION("""COMPUTED_VALUE"""),40647.6666666666)</f>
        <v>40647.666666666599</v>
      </c>
      <c r="B146" s="4">
        <f ca="1">IFERROR(__xludf.DUMMYFUNCTION("""COMPUTED_VALUE"""),289.25)</f>
        <v>289.25</v>
      </c>
      <c r="C146" s="5">
        <f t="shared" ca="1" si="0"/>
        <v>3.8448929404590135E-3</v>
      </c>
    </row>
    <row r="147" spans="1:3" ht="13" x14ac:dyDescent="0.15">
      <c r="A147" s="3">
        <f ca="1">IFERROR(__xludf.DUMMYFUNCTION("""COMPUTED_VALUE"""),40648.6666666666)</f>
        <v>40648.666666666599</v>
      </c>
      <c r="B147" s="4">
        <f ca="1">IFERROR(__xludf.DUMMYFUNCTION("""COMPUTED_VALUE"""),265.35)</f>
        <v>265.35000000000002</v>
      </c>
      <c r="C147" s="5">
        <f t="shared" ca="1" si="0"/>
        <v>-8.6241656799881952E-2</v>
      </c>
    </row>
    <row r="148" spans="1:3" ht="13" x14ac:dyDescent="0.15">
      <c r="A148" s="3">
        <f ca="1">IFERROR(__xludf.DUMMYFUNCTION("""COMPUTED_VALUE"""),40651.6666666666)</f>
        <v>40651.666666666599</v>
      </c>
      <c r="B148" s="4">
        <f ca="1">IFERROR(__xludf.DUMMYFUNCTION("""COMPUTED_VALUE"""),263.42)</f>
        <v>263.42</v>
      </c>
      <c r="C148" s="5">
        <f t="shared" ca="1" si="0"/>
        <v>-7.2999927030035572E-3</v>
      </c>
    </row>
    <row r="149" spans="1:3" ht="13" x14ac:dyDescent="0.15">
      <c r="A149" s="3">
        <f ca="1">IFERROR(__xludf.DUMMYFUNCTION("""COMPUTED_VALUE"""),40652.6666666666)</f>
        <v>40652.666666666599</v>
      </c>
      <c r="B149" s="4">
        <f ca="1">IFERROR(__xludf.DUMMYFUNCTION("""COMPUTED_VALUE"""),260.76)</f>
        <v>260.76</v>
      </c>
      <c r="C149" s="5">
        <f t="shared" ca="1" si="0"/>
        <v>-1.0149272514562001E-2</v>
      </c>
    </row>
    <row r="150" spans="1:3" ht="13" x14ac:dyDescent="0.15">
      <c r="A150" s="3">
        <f ca="1">IFERROR(__xludf.DUMMYFUNCTION("""COMPUTED_VALUE"""),40653.6666666666)</f>
        <v>40653.666666666599</v>
      </c>
      <c r="B150" s="4">
        <f ca="1">IFERROR(__xludf.DUMMYFUNCTION("""COMPUTED_VALUE"""),262.86)</f>
        <v>262.86</v>
      </c>
      <c r="C150" s="5">
        <f t="shared" ca="1" si="0"/>
        <v>8.0211269975236695E-3</v>
      </c>
    </row>
    <row r="151" spans="1:3" ht="13" x14ac:dyDescent="0.15">
      <c r="A151" s="3">
        <f ca="1">IFERROR(__xludf.DUMMYFUNCTION("""COMPUTED_VALUE"""),40654.6666666666)</f>
        <v>40654.666666666599</v>
      </c>
      <c r="B151" s="4">
        <f ca="1">IFERROR(__xludf.DUMMYFUNCTION("""COMPUTED_VALUE"""),262.55)</f>
        <v>262.55</v>
      </c>
      <c r="C151" s="5">
        <f t="shared" ca="1" si="0"/>
        <v>-1.1800309699938371E-3</v>
      </c>
    </row>
    <row r="152" spans="1:3" ht="13" x14ac:dyDescent="0.15">
      <c r="A152" s="3">
        <f ca="1">IFERROR(__xludf.DUMMYFUNCTION("""COMPUTED_VALUE"""),40658.6666666666)</f>
        <v>40658.666666666599</v>
      </c>
      <c r="B152" s="4">
        <f ca="1">IFERROR(__xludf.DUMMYFUNCTION("""COMPUTED_VALUE"""),262.52)</f>
        <v>262.52</v>
      </c>
      <c r="C152" s="5">
        <f t="shared" ca="1" si="0"/>
        <v>-1.1427047834645711E-4</v>
      </c>
    </row>
    <row r="153" spans="1:3" ht="13" x14ac:dyDescent="0.15">
      <c r="A153" s="3">
        <f ca="1">IFERROR(__xludf.DUMMYFUNCTION("""COMPUTED_VALUE"""),40659.6666666666)</f>
        <v>40659.666666666599</v>
      </c>
      <c r="B153" s="4">
        <f ca="1">IFERROR(__xludf.DUMMYFUNCTION("""COMPUTED_VALUE"""),266.41)</f>
        <v>266.41000000000003</v>
      </c>
      <c r="C153" s="5">
        <f t="shared" ca="1" si="0"/>
        <v>1.4709205893733968E-2</v>
      </c>
    </row>
    <row r="154" spans="1:3" ht="13" x14ac:dyDescent="0.15">
      <c r="A154" s="3">
        <f ca="1">IFERROR(__xludf.DUMMYFUNCTION("""COMPUTED_VALUE"""),40660.6666666666)</f>
        <v>40660.666666666599</v>
      </c>
      <c r="B154" s="4">
        <f ca="1">IFERROR(__xludf.DUMMYFUNCTION("""COMPUTED_VALUE"""),268.88)</f>
        <v>268.88</v>
      </c>
      <c r="C154" s="5">
        <f t="shared" ca="1" si="0"/>
        <v>9.2287079175942758E-3</v>
      </c>
    </row>
    <row r="155" spans="1:3" ht="13" x14ac:dyDescent="0.15">
      <c r="A155" s="3">
        <f ca="1">IFERROR(__xludf.DUMMYFUNCTION("""COMPUTED_VALUE"""),40661.6666666666)</f>
        <v>40661.666666666599</v>
      </c>
      <c r="B155" s="4">
        <f ca="1">IFERROR(__xludf.DUMMYFUNCTION("""COMPUTED_VALUE"""),268.98)</f>
        <v>268.98</v>
      </c>
      <c r="C155" s="5">
        <f t="shared" ca="1" si="0"/>
        <v>3.7184397855307306E-4</v>
      </c>
    </row>
    <row r="156" spans="1:3" ht="13" x14ac:dyDescent="0.15">
      <c r="A156" s="3">
        <f ca="1">IFERROR(__xludf.DUMMYFUNCTION("""COMPUTED_VALUE"""),40662.6666666666)</f>
        <v>40662.666666666599</v>
      </c>
      <c r="B156" s="4">
        <f ca="1">IFERROR(__xludf.DUMMYFUNCTION("""COMPUTED_VALUE"""),272.05)</f>
        <v>272.05</v>
      </c>
      <c r="C156" s="5">
        <f t="shared" ca="1" si="0"/>
        <v>1.1348845536531274E-2</v>
      </c>
    </row>
    <row r="157" spans="1:3" ht="13" x14ac:dyDescent="0.15">
      <c r="A157" s="3">
        <f ca="1">IFERROR(__xludf.DUMMYFUNCTION("""COMPUTED_VALUE"""),40665.6666666666)</f>
        <v>40665.666666666599</v>
      </c>
      <c r="B157" s="4">
        <f ca="1">IFERROR(__xludf.DUMMYFUNCTION("""COMPUTED_VALUE"""),269.27)</f>
        <v>269.27</v>
      </c>
      <c r="C157" s="5">
        <f t="shared" ca="1" si="0"/>
        <v>-1.0271279245547197E-2</v>
      </c>
    </row>
    <row r="158" spans="1:3" ht="13" x14ac:dyDescent="0.15">
      <c r="A158" s="3">
        <f ca="1">IFERROR(__xludf.DUMMYFUNCTION("""COMPUTED_VALUE"""),40666.6666666666)</f>
        <v>40666.666666666599</v>
      </c>
      <c r="B158" s="4">
        <f ca="1">IFERROR(__xludf.DUMMYFUNCTION("""COMPUTED_VALUE"""),266.94)</f>
        <v>266.94</v>
      </c>
      <c r="C158" s="5">
        <f t="shared" ca="1" si="0"/>
        <v>-8.690679640381789E-3</v>
      </c>
    </row>
    <row r="159" spans="1:3" ht="13" x14ac:dyDescent="0.15">
      <c r="A159" s="3">
        <f ca="1">IFERROR(__xludf.DUMMYFUNCTION("""COMPUTED_VALUE"""),40667.6666666666)</f>
        <v>40667.666666666599</v>
      </c>
      <c r="B159" s="4">
        <f ca="1">IFERROR(__xludf.DUMMYFUNCTION("""COMPUTED_VALUE"""),267.89)</f>
        <v>267.89</v>
      </c>
      <c r="C159" s="5">
        <f t="shared" ca="1" si="0"/>
        <v>3.5525344469187897E-3</v>
      </c>
    </row>
    <row r="160" spans="1:3" ht="13" x14ac:dyDescent="0.15">
      <c r="A160" s="3">
        <f ca="1">IFERROR(__xludf.DUMMYFUNCTION("""COMPUTED_VALUE"""),40668.6666666666)</f>
        <v>40668.666666666599</v>
      </c>
      <c r="B160" s="4">
        <f ca="1">IFERROR(__xludf.DUMMYFUNCTION("""COMPUTED_VALUE"""),267.13)</f>
        <v>267.13</v>
      </c>
      <c r="C160" s="5">
        <f t="shared" ca="1" si="0"/>
        <v>-2.8410172000569453E-3</v>
      </c>
    </row>
    <row r="161" spans="1:3" ht="13" x14ac:dyDescent="0.15">
      <c r="A161" s="3">
        <f ca="1">IFERROR(__xludf.DUMMYFUNCTION("""COMPUTED_VALUE"""),40669.6666666666)</f>
        <v>40669.666666666599</v>
      </c>
      <c r="B161" s="4">
        <f ca="1">IFERROR(__xludf.DUMMYFUNCTION("""COMPUTED_VALUE"""),267.64)</f>
        <v>267.64</v>
      </c>
      <c r="C161" s="5">
        <f t="shared" ca="1" si="0"/>
        <v>1.9073626217489606E-3</v>
      </c>
    </row>
    <row r="162" spans="1:3" ht="13" x14ac:dyDescent="0.15">
      <c r="A162" s="3">
        <f ca="1">IFERROR(__xludf.DUMMYFUNCTION("""COMPUTED_VALUE"""),40672.6666666666)</f>
        <v>40672.666666666599</v>
      </c>
      <c r="B162" s="4">
        <f ca="1">IFERROR(__xludf.DUMMYFUNCTION("""COMPUTED_VALUE"""),268.83)</f>
        <v>268.83</v>
      </c>
      <c r="C162" s="5">
        <f t="shared" ca="1" si="0"/>
        <v>4.4364156496216802E-3</v>
      </c>
    </row>
    <row r="163" spans="1:3" ht="13" x14ac:dyDescent="0.15">
      <c r="A163" s="3">
        <f ca="1">IFERROR(__xludf.DUMMYFUNCTION("""COMPUTED_VALUE"""),40673.6666666666)</f>
        <v>40673.666666666599</v>
      </c>
      <c r="B163" s="4">
        <f ca="1">IFERROR(__xludf.DUMMYFUNCTION("""COMPUTED_VALUE"""),271.32)</f>
        <v>271.32</v>
      </c>
      <c r="C163" s="5">
        <f t="shared" ca="1" si="0"/>
        <v>9.219726513640945E-3</v>
      </c>
    </row>
    <row r="164" spans="1:3" ht="13" x14ac:dyDescent="0.15">
      <c r="A164" s="3">
        <f ca="1">IFERROR(__xludf.DUMMYFUNCTION("""COMPUTED_VALUE"""),40674.6666666666)</f>
        <v>40674.666666666599</v>
      </c>
      <c r="B164" s="4">
        <f ca="1">IFERROR(__xludf.DUMMYFUNCTION("""COMPUTED_VALUE"""),267.72)</f>
        <v>267.72000000000003</v>
      </c>
      <c r="C164" s="5">
        <f t="shared" ca="1" si="0"/>
        <v>-1.3357277845437165E-2</v>
      </c>
    </row>
    <row r="165" spans="1:3" ht="13" x14ac:dyDescent="0.15">
      <c r="A165" s="3">
        <f ca="1">IFERROR(__xludf.DUMMYFUNCTION("""COMPUTED_VALUE"""),40675.6666666666)</f>
        <v>40675.666666666599</v>
      </c>
      <c r="B165" s="4">
        <f ca="1">IFERROR(__xludf.DUMMYFUNCTION("""COMPUTED_VALUE"""),267.52)</f>
        <v>267.52</v>
      </c>
      <c r="C165" s="5">
        <f t="shared" ca="1" si="0"/>
        <v>-7.4732833610487756E-4</v>
      </c>
    </row>
    <row r="166" spans="1:3" ht="13" x14ac:dyDescent="0.15">
      <c r="A166" s="3">
        <f ca="1">IFERROR(__xludf.DUMMYFUNCTION("""COMPUTED_VALUE"""),40676.6666666666)</f>
        <v>40676.666666666599</v>
      </c>
      <c r="B166" s="4">
        <f ca="1">IFERROR(__xludf.DUMMYFUNCTION("""COMPUTED_VALUE"""),264.77)</f>
        <v>264.77</v>
      </c>
      <c r="C166" s="5">
        <f t="shared" ca="1" si="0"/>
        <v>-1.0332805302985634E-2</v>
      </c>
    </row>
    <row r="167" spans="1:3" ht="13" x14ac:dyDescent="0.15">
      <c r="A167" s="3">
        <f ca="1">IFERROR(__xludf.DUMMYFUNCTION("""COMPUTED_VALUE"""),40679.6666666666)</f>
        <v>40679.666666666599</v>
      </c>
      <c r="B167" s="4">
        <f ca="1">IFERROR(__xludf.DUMMYFUNCTION("""COMPUTED_VALUE"""),259.2)</f>
        <v>259.2</v>
      </c>
      <c r="C167" s="5">
        <f t="shared" ca="1" si="0"/>
        <v>-2.1261560115231434E-2</v>
      </c>
    </row>
    <row r="168" spans="1:3" ht="13" x14ac:dyDescent="0.15">
      <c r="A168" s="3">
        <f ca="1">IFERROR(__xludf.DUMMYFUNCTION("""COMPUTED_VALUE"""),40680.6666666666)</f>
        <v>40680.666666666599</v>
      </c>
      <c r="B168" s="4">
        <f ca="1">IFERROR(__xludf.DUMMYFUNCTION("""COMPUTED_VALUE"""),265.23)</f>
        <v>265.23</v>
      </c>
      <c r="C168" s="5">
        <f t="shared" ca="1" si="0"/>
        <v>2.299740960770319E-2</v>
      </c>
    </row>
    <row r="169" spans="1:3" ht="13" x14ac:dyDescent="0.15">
      <c r="A169" s="3">
        <f ca="1">IFERROR(__xludf.DUMMYFUNCTION("""COMPUTED_VALUE"""),40681.6666666666)</f>
        <v>40681.666666666599</v>
      </c>
      <c r="B169" s="4">
        <f ca="1">IFERROR(__xludf.DUMMYFUNCTION("""COMPUTED_VALUE"""),264.9)</f>
        <v>264.89999999999998</v>
      </c>
      <c r="C169" s="5">
        <f t="shared" ca="1" si="0"/>
        <v>-1.24497780779889E-3</v>
      </c>
    </row>
    <row r="170" spans="1:3" ht="13" x14ac:dyDescent="0.15">
      <c r="A170" s="3">
        <f ca="1">IFERROR(__xludf.DUMMYFUNCTION("""COMPUTED_VALUE"""),40682.6666666666)</f>
        <v>40682.666666666599</v>
      </c>
      <c r="B170" s="4">
        <f ca="1">IFERROR(__xludf.DUMMYFUNCTION("""COMPUTED_VALUE"""),265.62)</f>
        <v>265.62</v>
      </c>
      <c r="C170" s="5">
        <f t="shared" ca="1" si="0"/>
        <v>2.7143196940806412E-3</v>
      </c>
    </row>
    <row r="171" spans="1:3" ht="13" x14ac:dyDescent="0.15">
      <c r="A171" s="3">
        <f ca="1">IFERROR(__xludf.DUMMYFUNCTION("""COMPUTED_VALUE"""),40683.6666666666)</f>
        <v>40683.666666666599</v>
      </c>
      <c r="B171" s="4">
        <f ca="1">IFERROR(__xludf.DUMMYFUNCTION("""COMPUTED_VALUE"""),262.01)</f>
        <v>262.01</v>
      </c>
      <c r="C171" s="5">
        <f t="shared" ca="1" si="0"/>
        <v>-1.368404500045377E-2</v>
      </c>
    </row>
    <row r="172" spans="1:3" ht="13" x14ac:dyDescent="0.15">
      <c r="A172" s="3">
        <f ca="1">IFERROR(__xludf.DUMMYFUNCTION("""COMPUTED_VALUE"""),40686.6666666666)</f>
        <v>40686.666666666599</v>
      </c>
      <c r="B172" s="4">
        <f ca="1">IFERROR(__xludf.DUMMYFUNCTION("""COMPUTED_VALUE"""),259.19)</f>
        <v>259.19</v>
      </c>
      <c r="C172" s="5">
        <f t="shared" ca="1" si="0"/>
        <v>-1.0821287484681681E-2</v>
      </c>
    </row>
    <row r="173" spans="1:3" ht="13" x14ac:dyDescent="0.15">
      <c r="A173" s="3">
        <f ca="1">IFERROR(__xludf.DUMMYFUNCTION("""COMPUTED_VALUE"""),40687.6666666666)</f>
        <v>40687.666666666599</v>
      </c>
      <c r="B173" s="4">
        <f ca="1">IFERROR(__xludf.DUMMYFUNCTION("""COMPUTED_VALUE"""),259.13)</f>
        <v>259.13</v>
      </c>
      <c r="C173" s="5">
        <f t="shared" ca="1" si="0"/>
        <v>-2.3151721048001575E-4</v>
      </c>
    </row>
    <row r="174" spans="1:3" ht="13" x14ac:dyDescent="0.15">
      <c r="A174" s="3">
        <f ca="1">IFERROR(__xludf.DUMMYFUNCTION("""COMPUTED_VALUE"""),40688.6666666666)</f>
        <v>40688.666666666599</v>
      </c>
      <c r="B174" s="4">
        <f ca="1">IFERROR(__xludf.DUMMYFUNCTION("""COMPUTED_VALUE"""),259.83)</f>
        <v>259.83</v>
      </c>
      <c r="C174" s="5">
        <f t="shared" ca="1" si="0"/>
        <v>2.6977047345738523E-3</v>
      </c>
    </row>
    <row r="175" spans="1:3" ht="13" x14ac:dyDescent="0.15">
      <c r="A175" s="3">
        <f ca="1">IFERROR(__xludf.DUMMYFUNCTION("""COMPUTED_VALUE"""),40689.6666666666)</f>
        <v>40689.666666666599</v>
      </c>
      <c r="B175" s="4">
        <f ca="1">IFERROR(__xludf.DUMMYFUNCTION("""COMPUTED_VALUE"""),259.06)</f>
        <v>259.06</v>
      </c>
      <c r="C175" s="5">
        <f t="shared" ca="1" si="0"/>
        <v>-2.9678759089531298E-3</v>
      </c>
    </row>
    <row r="176" spans="1:3" ht="13" x14ac:dyDescent="0.15">
      <c r="A176" s="3">
        <f ca="1">IFERROR(__xludf.DUMMYFUNCTION("""COMPUTED_VALUE"""),40690.6666666666)</f>
        <v>40690.666666666599</v>
      </c>
      <c r="B176" s="4">
        <f ca="1">IFERROR(__xludf.DUMMYFUNCTION("""COMPUTED_VALUE"""),260.45)</f>
        <v>260.45</v>
      </c>
      <c r="C176" s="5">
        <f t="shared" ca="1" si="0"/>
        <v>5.35120908909055E-3</v>
      </c>
    </row>
    <row r="177" spans="1:3" ht="13" x14ac:dyDescent="0.15">
      <c r="A177" s="3">
        <f ca="1">IFERROR(__xludf.DUMMYFUNCTION("""COMPUTED_VALUE"""),40694.6666666666)</f>
        <v>40694.666666666599</v>
      </c>
      <c r="B177" s="4">
        <f ca="1">IFERROR(__xludf.DUMMYFUNCTION("""COMPUTED_VALUE"""),264.51)</f>
        <v>264.51</v>
      </c>
      <c r="C177" s="5">
        <f t="shared" ca="1" si="0"/>
        <v>1.5468153575844927E-2</v>
      </c>
    </row>
    <row r="178" spans="1:3" ht="13" x14ac:dyDescent="0.15">
      <c r="A178" s="3">
        <f ca="1">IFERROR(__xludf.DUMMYFUNCTION("""COMPUTED_VALUE"""),40695.6666666666)</f>
        <v>40695.666666666599</v>
      </c>
      <c r="B178" s="4">
        <f ca="1">IFERROR(__xludf.DUMMYFUNCTION("""COMPUTED_VALUE"""),262.8)</f>
        <v>262.8</v>
      </c>
      <c r="C178" s="5">
        <f t="shared" ca="1" si="0"/>
        <v>-6.4857711565898613E-3</v>
      </c>
    </row>
    <row r="179" spans="1:3" ht="13" x14ac:dyDescent="0.15">
      <c r="A179" s="3">
        <f ca="1">IFERROR(__xludf.DUMMYFUNCTION("""COMPUTED_VALUE"""),40696.6666666666)</f>
        <v>40696.666666666599</v>
      </c>
      <c r="B179" s="4">
        <f ca="1">IFERROR(__xludf.DUMMYFUNCTION("""COMPUTED_VALUE"""),264.02)</f>
        <v>264.02</v>
      </c>
      <c r="C179" s="5">
        <f t="shared" ca="1" si="0"/>
        <v>4.6315712421580186E-3</v>
      </c>
    </row>
    <row r="180" spans="1:3" ht="13" x14ac:dyDescent="0.15">
      <c r="A180" s="3">
        <f ca="1">IFERROR(__xludf.DUMMYFUNCTION("""COMPUTED_VALUE"""),40697.6666666666)</f>
        <v>40697.666666666599</v>
      </c>
      <c r="B180" s="4">
        <f ca="1">IFERROR(__xludf.DUMMYFUNCTION("""COMPUTED_VALUE"""),261.54)</f>
        <v>261.54000000000002</v>
      </c>
      <c r="C180" s="5">
        <f t="shared" ca="1" si="0"/>
        <v>-9.4376223742571562E-3</v>
      </c>
    </row>
    <row r="181" spans="1:3" ht="13" x14ac:dyDescent="0.15">
      <c r="A181" s="3">
        <f ca="1">IFERROR(__xludf.DUMMYFUNCTION("""COMPUTED_VALUE"""),40700.6666666666)</f>
        <v>40700.666666666599</v>
      </c>
      <c r="B181" s="4">
        <f ca="1">IFERROR(__xludf.DUMMYFUNCTION("""COMPUTED_VALUE"""),260.52)</f>
        <v>260.52</v>
      </c>
      <c r="C181" s="5">
        <f t="shared" ca="1" si="0"/>
        <v>-3.9076018001555808E-3</v>
      </c>
    </row>
    <row r="182" spans="1:3" ht="13" x14ac:dyDescent="0.15">
      <c r="A182" s="3">
        <f ca="1">IFERROR(__xludf.DUMMYFUNCTION("""COMPUTED_VALUE"""),40701.6666666666)</f>
        <v>40701.666666666599</v>
      </c>
      <c r="B182" s="4">
        <f ca="1">IFERROR(__xludf.DUMMYFUNCTION("""COMPUTED_VALUE"""),259.51)</f>
        <v>259.51</v>
      </c>
      <c r="C182" s="5">
        <f t="shared" ca="1" si="0"/>
        <v>-3.8843961692642593E-3</v>
      </c>
    </row>
    <row r="183" spans="1:3" ht="13" x14ac:dyDescent="0.15">
      <c r="A183" s="3">
        <f ca="1">IFERROR(__xludf.DUMMYFUNCTION("""COMPUTED_VALUE"""),40702.6666666666)</f>
        <v>40702.666666666599</v>
      </c>
      <c r="B183" s="4">
        <f ca="1">IFERROR(__xludf.DUMMYFUNCTION("""COMPUTED_VALUE"""),259.58)</f>
        <v>259.58</v>
      </c>
      <c r="C183" s="5">
        <f t="shared" ca="1" si="0"/>
        <v>2.6970275067642258E-4</v>
      </c>
    </row>
    <row r="184" spans="1:3" ht="13" x14ac:dyDescent="0.15">
      <c r="A184" s="3">
        <f ca="1">IFERROR(__xludf.DUMMYFUNCTION("""COMPUTED_VALUE"""),40703.6666666666)</f>
        <v>40703.666666666599</v>
      </c>
      <c r="B184" s="4">
        <f ca="1">IFERROR(__xludf.DUMMYFUNCTION("""COMPUTED_VALUE"""),258.36)</f>
        <v>258.36</v>
      </c>
      <c r="C184" s="5">
        <f t="shared" ca="1" si="0"/>
        <v>-4.7109790953408391E-3</v>
      </c>
    </row>
    <row r="185" spans="1:3" ht="13" x14ac:dyDescent="0.15">
      <c r="A185" s="3">
        <f ca="1">IFERROR(__xludf.DUMMYFUNCTION("""COMPUTED_VALUE"""),40704.6666666666)</f>
        <v>40704.666666666599</v>
      </c>
      <c r="B185" s="4">
        <f ca="1">IFERROR(__xludf.DUMMYFUNCTION("""COMPUTED_VALUE"""),254.75)</f>
        <v>254.75</v>
      </c>
      <c r="C185" s="5">
        <f t="shared" ca="1" si="0"/>
        <v>-1.4071289061437814E-2</v>
      </c>
    </row>
    <row r="186" spans="1:3" ht="13" x14ac:dyDescent="0.15">
      <c r="A186" s="3">
        <f ca="1">IFERROR(__xludf.DUMMYFUNCTION("""COMPUTED_VALUE"""),40707.6666666666)</f>
        <v>40707.666666666599</v>
      </c>
      <c r="B186" s="4">
        <f ca="1">IFERROR(__xludf.DUMMYFUNCTION("""COMPUTED_VALUE"""),252.36)</f>
        <v>252.36</v>
      </c>
      <c r="C186" s="5">
        <f t="shared" ca="1" si="0"/>
        <v>-9.4260326002254015E-3</v>
      </c>
    </row>
    <row r="187" spans="1:3" ht="13" x14ac:dyDescent="0.15">
      <c r="A187" s="3">
        <f ca="1">IFERROR(__xludf.DUMMYFUNCTION("""COMPUTED_VALUE"""),40708.6666666666)</f>
        <v>40708.666666666599</v>
      </c>
      <c r="B187" s="4">
        <f ca="1">IFERROR(__xludf.DUMMYFUNCTION("""COMPUTED_VALUE"""),254.18)</f>
        <v>254.18</v>
      </c>
      <c r="C187" s="5">
        <f t="shared" ca="1" si="0"/>
        <v>7.1860379513155395E-3</v>
      </c>
    </row>
    <row r="188" spans="1:3" ht="13" x14ac:dyDescent="0.15">
      <c r="A188" s="3">
        <f ca="1">IFERROR(__xludf.DUMMYFUNCTION("""COMPUTED_VALUE"""),40709.6666666666)</f>
        <v>40709.666666666599</v>
      </c>
      <c r="B188" s="4">
        <f ca="1">IFERROR(__xludf.DUMMYFUNCTION("""COMPUTED_VALUE"""),251.47)</f>
        <v>251.47</v>
      </c>
      <c r="C188" s="5">
        <f t="shared" ca="1" si="0"/>
        <v>-1.0718979323302302E-2</v>
      </c>
    </row>
    <row r="189" spans="1:3" ht="13" x14ac:dyDescent="0.15">
      <c r="A189" s="3">
        <f ca="1">IFERROR(__xludf.DUMMYFUNCTION("""COMPUTED_VALUE"""),40710.6666666666)</f>
        <v>40710.666666666599</v>
      </c>
      <c r="B189" s="4">
        <f ca="1">IFERROR(__xludf.DUMMYFUNCTION("""COMPUTED_VALUE"""),250.18)</f>
        <v>250.18</v>
      </c>
      <c r="C189" s="5">
        <f t="shared" ca="1" si="0"/>
        <v>-5.1430393440267631E-3</v>
      </c>
    </row>
    <row r="190" spans="1:3" ht="13" x14ac:dyDescent="0.15">
      <c r="A190" s="3">
        <f ca="1">IFERROR(__xludf.DUMMYFUNCTION("""COMPUTED_VALUE"""),40711.6666666666)</f>
        <v>40711.666666666599</v>
      </c>
      <c r="B190" s="4">
        <f ca="1">IFERROR(__xludf.DUMMYFUNCTION("""COMPUTED_VALUE"""),242.51)</f>
        <v>242.51</v>
      </c>
      <c r="C190" s="5">
        <f t="shared" ca="1" si="0"/>
        <v>-3.1137712145881808E-2</v>
      </c>
    </row>
    <row r="191" spans="1:3" ht="13" x14ac:dyDescent="0.15">
      <c r="A191" s="3">
        <f ca="1">IFERROR(__xludf.DUMMYFUNCTION("""COMPUTED_VALUE"""),40714.6666666666)</f>
        <v>40714.666666666599</v>
      </c>
      <c r="B191" s="4">
        <f ca="1">IFERROR(__xludf.DUMMYFUNCTION("""COMPUTED_VALUE"""),242.29)</f>
        <v>242.29</v>
      </c>
      <c r="C191" s="5">
        <f t="shared" ca="1" si="0"/>
        <v>-9.0759082137600638E-4</v>
      </c>
    </row>
    <row r="192" spans="1:3" ht="13" x14ac:dyDescent="0.15">
      <c r="A192" s="3">
        <f ca="1">IFERROR(__xludf.DUMMYFUNCTION("""COMPUTED_VALUE"""),40715.6666666666)</f>
        <v>40715.666666666599</v>
      </c>
      <c r="B192" s="4">
        <f ca="1">IFERROR(__xludf.DUMMYFUNCTION("""COMPUTED_VALUE"""),246.5)</f>
        <v>246.5</v>
      </c>
      <c r="C192" s="5">
        <f t="shared" ca="1" si="0"/>
        <v>1.722663766340736E-2</v>
      </c>
    </row>
    <row r="193" spans="1:3" ht="13" x14ac:dyDescent="0.15">
      <c r="A193" s="3">
        <f ca="1">IFERROR(__xludf.DUMMYFUNCTION("""COMPUTED_VALUE"""),40716.6666666666)</f>
        <v>40716.666666666599</v>
      </c>
      <c r="B193" s="4">
        <f ca="1">IFERROR(__xludf.DUMMYFUNCTION("""COMPUTED_VALUE"""),243.5)</f>
        <v>243.5</v>
      </c>
      <c r="C193" s="5">
        <f t="shared" ca="1" si="0"/>
        <v>-1.2245050960100288E-2</v>
      </c>
    </row>
    <row r="194" spans="1:3" ht="13" x14ac:dyDescent="0.15">
      <c r="A194" s="3">
        <f ca="1">IFERROR(__xludf.DUMMYFUNCTION("""COMPUTED_VALUE"""),40717.6666666666)</f>
        <v>40717.666666666599</v>
      </c>
      <c r="B194" s="4">
        <f ca="1">IFERROR(__xludf.DUMMYFUNCTION("""COMPUTED_VALUE"""),240.11)</f>
        <v>240.11</v>
      </c>
      <c r="C194" s="5">
        <f t="shared" ca="1" si="0"/>
        <v>-1.4019790849959083E-2</v>
      </c>
    </row>
    <row r="195" spans="1:3" ht="13" x14ac:dyDescent="0.15">
      <c r="A195" s="3">
        <f ca="1">IFERROR(__xludf.DUMMYFUNCTION("""COMPUTED_VALUE"""),40718.6666666666)</f>
        <v>40718.666666666599</v>
      </c>
      <c r="B195" s="4">
        <f ca="1">IFERROR(__xludf.DUMMYFUNCTION("""COMPUTED_VALUE"""),237.44)</f>
        <v>237.44</v>
      </c>
      <c r="C195" s="5">
        <f t="shared" ca="1" si="0"/>
        <v>-1.1182191693669812E-2</v>
      </c>
    </row>
    <row r="196" spans="1:3" ht="13" x14ac:dyDescent="0.15">
      <c r="A196" s="3">
        <f ca="1">IFERROR(__xludf.DUMMYFUNCTION("""COMPUTED_VALUE"""),40721.6666666666)</f>
        <v>40721.666666666599</v>
      </c>
      <c r="B196" s="4">
        <f ca="1">IFERROR(__xludf.DUMMYFUNCTION("""COMPUTED_VALUE"""),241.4)</f>
        <v>241.4</v>
      </c>
      <c r="C196" s="5">
        <f t="shared" ca="1" si="0"/>
        <v>1.6540348684415479E-2</v>
      </c>
    </row>
    <row r="197" spans="1:3" ht="13" x14ac:dyDescent="0.15">
      <c r="A197" s="3">
        <f ca="1">IFERROR(__xludf.DUMMYFUNCTION("""COMPUTED_VALUE"""),40722.6666666666)</f>
        <v>40722.666666666599</v>
      </c>
      <c r="B197" s="4">
        <f ca="1">IFERROR(__xludf.DUMMYFUNCTION("""COMPUTED_VALUE"""),246.82)</f>
        <v>246.82</v>
      </c>
      <c r="C197" s="5">
        <f t="shared" ca="1" si="0"/>
        <v>2.2204017361606394E-2</v>
      </c>
    </row>
    <row r="198" spans="1:3" ht="13" x14ac:dyDescent="0.15">
      <c r="A198" s="3">
        <f ca="1">IFERROR(__xludf.DUMMYFUNCTION("""COMPUTED_VALUE"""),40723.6666666666)</f>
        <v>40723.666666666599</v>
      </c>
      <c r="B198" s="4">
        <f ca="1">IFERROR(__xludf.DUMMYFUNCTION("""COMPUTED_VALUE"""),248.78)</f>
        <v>248.78</v>
      </c>
      <c r="C198" s="5">
        <f t="shared" ca="1" si="0"/>
        <v>7.9096457567811897E-3</v>
      </c>
    </row>
    <row r="199" spans="1:3" ht="13" x14ac:dyDescent="0.15">
      <c r="A199" s="3">
        <f ca="1">IFERROR(__xludf.DUMMYFUNCTION("""COMPUTED_VALUE"""),40724.6666666666)</f>
        <v>40724.666666666599</v>
      </c>
      <c r="B199" s="4">
        <f ca="1">IFERROR(__xludf.DUMMYFUNCTION("""COMPUTED_VALUE"""),253.19)</f>
        <v>253.19</v>
      </c>
      <c r="C199" s="5">
        <f t="shared" ca="1" si="0"/>
        <v>1.7571223237501276E-2</v>
      </c>
    </row>
    <row r="200" spans="1:3" ht="13" x14ac:dyDescent="0.15">
      <c r="A200" s="3">
        <f ca="1">IFERROR(__xludf.DUMMYFUNCTION("""COMPUTED_VALUE"""),40725.6666666666)</f>
        <v>40725.666666666599</v>
      </c>
      <c r="B200" s="4">
        <f ca="1">IFERROR(__xludf.DUMMYFUNCTION("""COMPUTED_VALUE"""),260.51)</f>
        <v>260.51</v>
      </c>
      <c r="C200" s="5">
        <f t="shared" ca="1" si="0"/>
        <v>2.8501053153243111E-2</v>
      </c>
    </row>
    <row r="201" spans="1:3" ht="13" x14ac:dyDescent="0.15">
      <c r="A201" s="3">
        <f ca="1">IFERROR(__xludf.DUMMYFUNCTION("""COMPUTED_VALUE"""),40729.6666666666)</f>
        <v>40729.666666666599</v>
      </c>
      <c r="B201" s="4">
        <f ca="1">IFERROR(__xludf.DUMMYFUNCTION("""COMPUTED_VALUE"""),266.22)</f>
        <v>266.22000000000003</v>
      </c>
      <c r="C201" s="5">
        <f t="shared" ca="1" si="0"/>
        <v>2.1681786446310164E-2</v>
      </c>
    </row>
    <row r="202" spans="1:3" ht="13" x14ac:dyDescent="0.15">
      <c r="A202" s="3">
        <f ca="1">IFERROR(__xludf.DUMMYFUNCTION("""COMPUTED_VALUE"""),40730.6666666666)</f>
        <v>40730.666666666599</v>
      </c>
      <c r="B202" s="4">
        <f ca="1">IFERROR(__xludf.DUMMYFUNCTION("""COMPUTED_VALUE"""),267.68)</f>
        <v>267.68</v>
      </c>
      <c r="C202" s="5">
        <f t="shared" ca="1" si="0"/>
        <v>5.4692026196406437E-3</v>
      </c>
    </row>
    <row r="203" spans="1:3" ht="13" x14ac:dyDescent="0.15">
      <c r="A203" s="3">
        <f ca="1">IFERROR(__xludf.DUMMYFUNCTION("""COMPUTED_VALUE"""),40731.6666666666)</f>
        <v>40731.666666666599</v>
      </c>
      <c r="B203" s="4">
        <f ca="1">IFERROR(__xludf.DUMMYFUNCTION("""COMPUTED_VALUE"""),273.3)</f>
        <v>273.3</v>
      </c>
      <c r="C203" s="5">
        <f t="shared" ca="1" si="0"/>
        <v>2.077785569550861E-2</v>
      </c>
    </row>
    <row r="204" spans="1:3" ht="13" x14ac:dyDescent="0.15">
      <c r="A204" s="3">
        <f ca="1">IFERROR(__xludf.DUMMYFUNCTION("""COMPUTED_VALUE"""),40732.6666666666)</f>
        <v>40732.666666666599</v>
      </c>
      <c r="B204" s="4">
        <f ca="1">IFERROR(__xludf.DUMMYFUNCTION("""COMPUTED_VALUE"""),265.99)</f>
        <v>265.99</v>
      </c>
      <c r="C204" s="5">
        <f t="shared" ca="1" si="0"/>
        <v>-2.7111378843957288E-2</v>
      </c>
    </row>
    <row r="205" spans="1:3" ht="13" x14ac:dyDescent="0.15">
      <c r="A205" s="3">
        <f ca="1">IFERROR(__xludf.DUMMYFUNCTION("""COMPUTED_VALUE"""),40735.6666666666)</f>
        <v>40735.666666666599</v>
      </c>
      <c r="B205" s="4">
        <f ca="1">IFERROR(__xludf.DUMMYFUNCTION("""COMPUTED_VALUE"""),263.64)</f>
        <v>263.64</v>
      </c>
      <c r="C205" s="5">
        <f t="shared" ca="1" si="0"/>
        <v>-8.8741779055460743E-3</v>
      </c>
    </row>
    <row r="206" spans="1:3" ht="13" x14ac:dyDescent="0.15">
      <c r="A206" s="3">
        <f ca="1">IFERROR(__xludf.DUMMYFUNCTION("""COMPUTED_VALUE"""),40736.6666666666)</f>
        <v>40736.666666666599</v>
      </c>
      <c r="B206" s="4">
        <f ca="1">IFERROR(__xludf.DUMMYFUNCTION("""COMPUTED_VALUE"""),267)</f>
        <v>267</v>
      </c>
      <c r="C206" s="5">
        <f t="shared" ca="1" si="0"/>
        <v>1.2664122215730326E-2</v>
      </c>
    </row>
    <row r="207" spans="1:3" ht="13" x14ac:dyDescent="0.15">
      <c r="A207" s="3">
        <f ca="1">IFERROR(__xludf.DUMMYFUNCTION("""COMPUTED_VALUE"""),40737.6666666666)</f>
        <v>40737.666666666599</v>
      </c>
      <c r="B207" s="4">
        <f ca="1">IFERROR(__xludf.DUMMYFUNCTION("""COMPUTED_VALUE"""),269.13)</f>
        <v>269.13</v>
      </c>
      <c r="C207" s="5">
        <f t="shared" ca="1" si="0"/>
        <v>7.945875839052409E-3</v>
      </c>
    </row>
    <row r="208" spans="1:3" ht="13" x14ac:dyDescent="0.15">
      <c r="A208" s="3">
        <f ca="1">IFERROR(__xludf.DUMMYFUNCTION("""COMPUTED_VALUE"""),40738.6666666666)</f>
        <v>40738.666666666599</v>
      </c>
      <c r="B208" s="4">
        <f ca="1">IFERROR(__xludf.DUMMYFUNCTION("""COMPUTED_VALUE"""),264.47)</f>
        <v>264.47000000000003</v>
      </c>
      <c r="C208" s="5">
        <f t="shared" ca="1" si="0"/>
        <v>-1.7466710923752626E-2</v>
      </c>
    </row>
    <row r="209" spans="1:3" ht="13" x14ac:dyDescent="0.15">
      <c r="A209" s="3">
        <f ca="1">IFERROR(__xludf.DUMMYFUNCTION("""COMPUTED_VALUE"""),40739.6666666666)</f>
        <v>40739.666666666599</v>
      </c>
      <c r="B209" s="4">
        <f ca="1">IFERROR(__xludf.DUMMYFUNCTION("""COMPUTED_VALUE"""),298.81)</f>
        <v>298.81</v>
      </c>
      <c r="C209" s="5">
        <f t="shared" ca="1" si="0"/>
        <v>0.12208009658524067</v>
      </c>
    </row>
    <row r="210" spans="1:3" ht="13" x14ac:dyDescent="0.15">
      <c r="A210" s="3">
        <f ca="1">IFERROR(__xludf.DUMMYFUNCTION("""COMPUTED_VALUE"""),40742.6666666666)</f>
        <v>40742.666666666599</v>
      </c>
      <c r="B210" s="4">
        <f ca="1">IFERROR(__xludf.DUMMYFUNCTION("""COMPUTED_VALUE"""),297.47)</f>
        <v>297.47000000000003</v>
      </c>
      <c r="C210" s="5">
        <f t="shared" ca="1" si="0"/>
        <v>-4.4945403359682827E-3</v>
      </c>
    </row>
    <row r="211" spans="1:3" ht="13" x14ac:dyDescent="0.15">
      <c r="A211" s="3">
        <f ca="1">IFERROR(__xludf.DUMMYFUNCTION("""COMPUTED_VALUE"""),40743.6666666666)</f>
        <v>40743.666666666599</v>
      </c>
      <c r="B211" s="4">
        <f ca="1">IFERROR(__xludf.DUMMYFUNCTION("""COMPUTED_VALUE"""),301.27)</f>
        <v>301.27</v>
      </c>
      <c r="C211" s="5">
        <f t="shared" ca="1" si="0"/>
        <v>1.2693493077815581E-2</v>
      </c>
    </row>
    <row r="212" spans="1:3" ht="13" x14ac:dyDescent="0.15">
      <c r="A212" s="3">
        <f ca="1">IFERROR(__xludf.DUMMYFUNCTION("""COMPUTED_VALUE"""),40744.6666666666)</f>
        <v>40744.666666666599</v>
      </c>
      <c r="B212" s="4">
        <f ca="1">IFERROR(__xludf.DUMMYFUNCTION("""COMPUTED_VALUE"""),297.67)</f>
        <v>297.67</v>
      </c>
      <c r="C212" s="5">
        <f t="shared" ca="1" si="0"/>
        <v>-1.2021382288660582E-2</v>
      </c>
    </row>
    <row r="213" spans="1:3" ht="13" x14ac:dyDescent="0.15">
      <c r="A213" s="3">
        <f ca="1">IFERROR(__xludf.DUMMYFUNCTION("""COMPUTED_VALUE"""),40745.6666666666)</f>
        <v>40745.666666666599</v>
      </c>
      <c r="B213" s="4">
        <f ca="1">IFERROR(__xludf.DUMMYFUNCTION("""COMPUTED_VALUE"""),303.49)</f>
        <v>303.49</v>
      </c>
      <c r="C213" s="5">
        <f t="shared" ca="1" si="0"/>
        <v>1.9363170673588632E-2</v>
      </c>
    </row>
    <row r="214" spans="1:3" ht="13" x14ac:dyDescent="0.15">
      <c r="A214" s="3">
        <f ca="1">IFERROR(__xludf.DUMMYFUNCTION("""COMPUTED_VALUE"""),40746.6666666666)</f>
        <v>40746.666666666599</v>
      </c>
      <c r="B214" s="4">
        <f ca="1">IFERROR(__xludf.DUMMYFUNCTION("""COMPUTED_VALUE"""),309.11)</f>
        <v>309.11</v>
      </c>
      <c r="C214" s="5">
        <f t="shared" ca="1" si="0"/>
        <v>1.8348539576838314E-2</v>
      </c>
    </row>
    <row r="215" spans="1:3" ht="13" x14ac:dyDescent="0.15">
      <c r="A215" s="3">
        <f ca="1">IFERROR(__xludf.DUMMYFUNCTION("""COMPUTED_VALUE"""),40749.6666666666)</f>
        <v>40749.666666666599</v>
      </c>
      <c r="B215" s="4">
        <f ca="1">IFERROR(__xludf.DUMMYFUNCTION("""COMPUTED_VALUE"""),309.48)</f>
        <v>309.48</v>
      </c>
      <c r="C215" s="5">
        <f t="shared" ca="1" si="0"/>
        <v>1.1962690768500771E-3</v>
      </c>
    </row>
    <row r="216" spans="1:3" ht="13" x14ac:dyDescent="0.15">
      <c r="A216" s="3">
        <f ca="1">IFERROR(__xludf.DUMMYFUNCTION("""COMPUTED_VALUE"""),40750.6666666666)</f>
        <v>40750.666666666599</v>
      </c>
      <c r="B216" s="4">
        <f ca="1">IFERROR(__xludf.DUMMYFUNCTION("""COMPUTED_VALUE"""),311.26)</f>
        <v>311.26</v>
      </c>
      <c r="C216" s="5">
        <f t="shared" ca="1" si="0"/>
        <v>5.7351060956100357E-3</v>
      </c>
    </row>
    <row r="217" spans="1:3" ht="13" x14ac:dyDescent="0.15">
      <c r="A217" s="3">
        <f ca="1">IFERROR(__xludf.DUMMYFUNCTION("""COMPUTED_VALUE"""),40751.6666666666)</f>
        <v>40751.666666666599</v>
      </c>
      <c r="B217" s="4">
        <f ca="1">IFERROR(__xludf.DUMMYFUNCTION("""COMPUTED_VALUE"""),303.6)</f>
        <v>303.60000000000002</v>
      </c>
      <c r="C217" s="5">
        <f t="shared" ca="1" si="0"/>
        <v>-2.4917530255388974E-2</v>
      </c>
    </row>
    <row r="218" spans="1:3" ht="13" x14ac:dyDescent="0.15">
      <c r="A218" s="3">
        <f ca="1">IFERROR(__xludf.DUMMYFUNCTION("""COMPUTED_VALUE"""),40752.6666666666)</f>
        <v>40752.666666666599</v>
      </c>
      <c r="B218" s="4">
        <f ca="1">IFERROR(__xludf.DUMMYFUNCTION("""COMPUTED_VALUE"""),305.47)</f>
        <v>305.47000000000003</v>
      </c>
      <c r="C218" s="5">
        <f t="shared" ca="1" si="0"/>
        <v>6.1405285956039569E-3</v>
      </c>
    </row>
    <row r="219" spans="1:3" ht="13" x14ac:dyDescent="0.15">
      <c r="A219" s="3">
        <f ca="1">IFERROR(__xludf.DUMMYFUNCTION("""COMPUTED_VALUE"""),40753.6666666666)</f>
        <v>40753.666666666599</v>
      </c>
      <c r="B219" s="4">
        <f ca="1">IFERROR(__xludf.DUMMYFUNCTION("""COMPUTED_VALUE"""),301.84)</f>
        <v>301.83999999999997</v>
      </c>
      <c r="C219" s="5">
        <f t="shared" ca="1" si="0"/>
        <v>-1.1954498461023826E-2</v>
      </c>
    </row>
    <row r="220" spans="1:3" ht="13" x14ac:dyDescent="0.15">
      <c r="A220" s="3">
        <f ca="1">IFERROR(__xludf.DUMMYFUNCTION("""COMPUTED_VALUE"""),40756.6666666666)</f>
        <v>40756.666666666599</v>
      </c>
      <c r="B220" s="4">
        <f ca="1">IFERROR(__xludf.DUMMYFUNCTION("""COMPUTED_VALUE"""),303.38)</f>
        <v>303.38</v>
      </c>
      <c r="C220" s="5">
        <f t="shared" ca="1" si="0"/>
        <v>5.0890695074714493E-3</v>
      </c>
    </row>
    <row r="221" spans="1:3" ht="13" x14ac:dyDescent="0.15">
      <c r="A221" s="3">
        <f ca="1">IFERROR(__xludf.DUMMYFUNCTION("""COMPUTED_VALUE"""),40757.6666666666)</f>
        <v>40757.666666666599</v>
      </c>
      <c r="B221" s="4">
        <f ca="1">IFERROR(__xludf.DUMMYFUNCTION("""COMPUTED_VALUE"""),296.2)</f>
        <v>296.2</v>
      </c>
      <c r="C221" s="5">
        <f t="shared" ca="1" si="0"/>
        <v>-2.3951243329827902E-2</v>
      </c>
    </row>
    <row r="222" spans="1:3" ht="13" x14ac:dyDescent="0.15">
      <c r="A222" s="3">
        <f ca="1">IFERROR(__xludf.DUMMYFUNCTION("""COMPUTED_VALUE"""),40758.6666666666)</f>
        <v>40758.666666666599</v>
      </c>
      <c r="B222" s="4">
        <f ca="1">IFERROR(__xludf.DUMMYFUNCTION("""COMPUTED_VALUE"""),300.58)</f>
        <v>300.58</v>
      </c>
      <c r="C222" s="5">
        <f t="shared" ca="1" si="0"/>
        <v>1.4679039672249924E-2</v>
      </c>
    </row>
    <row r="223" spans="1:3" ht="13" x14ac:dyDescent="0.15">
      <c r="A223" s="3">
        <f ca="1">IFERROR(__xludf.DUMMYFUNCTION("""COMPUTED_VALUE"""),40759.6666666666)</f>
        <v>40759.666666666599</v>
      </c>
      <c r="B223" s="4">
        <f ca="1">IFERROR(__xludf.DUMMYFUNCTION("""COMPUTED_VALUE"""),288.76)</f>
        <v>288.76</v>
      </c>
      <c r="C223" s="5">
        <f t="shared" ca="1" si="0"/>
        <v>-4.0118048234988032E-2</v>
      </c>
    </row>
    <row r="224" spans="1:3" ht="13" x14ac:dyDescent="0.15">
      <c r="A224" s="3">
        <f ca="1">IFERROR(__xludf.DUMMYFUNCTION("""COMPUTED_VALUE"""),40760.6666666666)</f>
        <v>40760.666666666599</v>
      </c>
      <c r="B224" s="4">
        <f ca="1">IFERROR(__xludf.DUMMYFUNCTION("""COMPUTED_VALUE"""),289.51)</f>
        <v>289.51</v>
      </c>
      <c r="C224" s="5">
        <f t="shared" ca="1" si="0"/>
        <v>2.5939454598526714E-3</v>
      </c>
    </row>
    <row r="225" spans="1:3" ht="13" x14ac:dyDescent="0.15">
      <c r="A225" s="3">
        <f ca="1">IFERROR(__xludf.DUMMYFUNCTION("""COMPUTED_VALUE"""),40763.6666666666)</f>
        <v>40763.666666666599</v>
      </c>
      <c r="B225" s="4">
        <f ca="1">IFERROR(__xludf.DUMMYFUNCTION("""COMPUTED_VALUE"""),273.01)</f>
        <v>273.01</v>
      </c>
      <c r="C225" s="5">
        <f t="shared" ca="1" si="0"/>
        <v>-5.8681414180086683E-2</v>
      </c>
    </row>
    <row r="226" spans="1:3" ht="13" x14ac:dyDescent="0.15">
      <c r="A226" s="3">
        <f ca="1">IFERROR(__xludf.DUMMYFUNCTION("""COMPUTED_VALUE"""),40764.6666666666)</f>
        <v>40764.666666666599</v>
      </c>
      <c r="B226" s="4">
        <f ca="1">IFERROR(__xludf.DUMMYFUNCTION("""COMPUTED_VALUE"""),286.7)</f>
        <v>286.7</v>
      </c>
      <c r="C226" s="5">
        <f t="shared" ca="1" si="0"/>
        <v>4.892794833859776E-2</v>
      </c>
    </row>
    <row r="227" spans="1:3" ht="13" x14ac:dyDescent="0.15">
      <c r="A227" s="3">
        <f ca="1">IFERROR(__xludf.DUMMYFUNCTION("""COMPUTED_VALUE"""),40765.6666666666)</f>
        <v>40765.666666666599</v>
      </c>
      <c r="B227" s="4">
        <f ca="1">IFERROR(__xludf.DUMMYFUNCTION("""COMPUTED_VALUE"""),274.5)</f>
        <v>274.5</v>
      </c>
      <c r="C227" s="5">
        <f t="shared" ca="1" si="0"/>
        <v>-4.348511193973878E-2</v>
      </c>
    </row>
    <row r="228" spans="1:3" ht="13" x14ac:dyDescent="0.15">
      <c r="A228" s="3">
        <f ca="1">IFERROR(__xludf.DUMMYFUNCTION("""COMPUTED_VALUE"""),40766.6666666666)</f>
        <v>40766.666666666599</v>
      </c>
      <c r="B228" s="4">
        <f ca="1">IFERROR(__xludf.DUMMYFUNCTION("""COMPUTED_VALUE"""),281.06)</f>
        <v>281.06</v>
      </c>
      <c r="C228" s="5">
        <f t="shared" ca="1" si="0"/>
        <v>2.3616908723013613E-2</v>
      </c>
    </row>
    <row r="229" spans="1:3" ht="13" x14ac:dyDescent="0.15">
      <c r="A229" s="3">
        <f ca="1">IFERROR(__xludf.DUMMYFUNCTION("""COMPUTED_VALUE"""),40767.6666666666)</f>
        <v>40767.666666666599</v>
      </c>
      <c r="B229" s="4">
        <f ca="1">IFERROR(__xludf.DUMMYFUNCTION("""COMPUTED_VALUE"""),281.88)</f>
        <v>281.88</v>
      </c>
      <c r="C229" s="5">
        <f t="shared" ca="1" si="0"/>
        <v>2.9132787862228534E-3</v>
      </c>
    </row>
    <row r="230" spans="1:3" ht="13" x14ac:dyDescent="0.15">
      <c r="A230" s="3">
        <f ca="1">IFERROR(__xludf.DUMMYFUNCTION("""COMPUTED_VALUE"""),40770.6666666666)</f>
        <v>40770.666666666599</v>
      </c>
      <c r="B230" s="4">
        <f ca="1">IFERROR(__xludf.DUMMYFUNCTION("""COMPUTED_VALUE"""),278.61)</f>
        <v>278.61</v>
      </c>
      <c r="C230" s="5">
        <f t="shared" ca="1" si="0"/>
        <v>-1.1668494002795005E-2</v>
      </c>
    </row>
    <row r="231" spans="1:3" ht="13" x14ac:dyDescent="0.15">
      <c r="A231" s="3">
        <f ca="1">IFERROR(__xludf.DUMMYFUNCTION("""COMPUTED_VALUE"""),40771.6666666666)</f>
        <v>40771.666666666599</v>
      </c>
      <c r="B231" s="4">
        <f ca="1">IFERROR(__xludf.DUMMYFUNCTION("""COMPUTED_VALUE"""),269.5)</f>
        <v>269.5</v>
      </c>
      <c r="C231" s="5">
        <f t="shared" ca="1" si="0"/>
        <v>-3.3244564106974857E-2</v>
      </c>
    </row>
    <row r="232" spans="1:3" ht="13" x14ac:dyDescent="0.15">
      <c r="A232" s="3">
        <f ca="1">IFERROR(__xludf.DUMMYFUNCTION("""COMPUTED_VALUE"""),40772.6666666666)</f>
        <v>40772.666666666599</v>
      </c>
      <c r="B232" s="4">
        <f ca="1">IFERROR(__xludf.DUMMYFUNCTION("""COMPUTED_VALUE"""),266.57)</f>
        <v>266.57</v>
      </c>
      <c r="C232" s="5">
        <f t="shared" ca="1" si="0"/>
        <v>-1.0931517068241864E-2</v>
      </c>
    </row>
    <row r="233" spans="1:3" ht="13" x14ac:dyDescent="0.15">
      <c r="A233" s="3">
        <f ca="1">IFERROR(__xludf.DUMMYFUNCTION("""COMPUTED_VALUE"""),40773.6666666666)</f>
        <v>40773.666666666599</v>
      </c>
      <c r="B233" s="4">
        <f ca="1">IFERROR(__xludf.DUMMYFUNCTION("""COMPUTED_VALUE"""),252.44)</f>
        <v>252.44</v>
      </c>
      <c r="C233" s="5">
        <f t="shared" ca="1" si="0"/>
        <v>-5.4463276564771262E-2</v>
      </c>
    </row>
    <row r="234" spans="1:3" ht="13" x14ac:dyDescent="0.15">
      <c r="A234" s="3">
        <f ca="1">IFERROR(__xludf.DUMMYFUNCTION("""COMPUTED_VALUE"""),40774.6666666666)</f>
        <v>40774.666666666599</v>
      </c>
      <c r="B234" s="4">
        <f ca="1">IFERROR(__xludf.DUMMYFUNCTION("""COMPUTED_VALUE"""),245.46)</f>
        <v>245.46</v>
      </c>
      <c r="C234" s="5">
        <f t="shared" ca="1" si="0"/>
        <v>-2.8039595546676493E-2</v>
      </c>
    </row>
    <row r="235" spans="1:3" ht="13" x14ac:dyDescent="0.15">
      <c r="A235" s="3">
        <f ca="1">IFERROR(__xludf.DUMMYFUNCTION("""COMPUTED_VALUE"""),40777.6666666666)</f>
        <v>40777.666666666599</v>
      </c>
      <c r="B235" s="4">
        <f ca="1">IFERROR(__xludf.DUMMYFUNCTION("""COMPUTED_VALUE"""),249.08)</f>
        <v>249.08</v>
      </c>
      <c r="C235" s="5">
        <f t="shared" ca="1" si="0"/>
        <v>1.4640128834889138E-2</v>
      </c>
    </row>
    <row r="236" spans="1:3" ht="13" x14ac:dyDescent="0.15">
      <c r="A236" s="3">
        <f ca="1">IFERROR(__xludf.DUMMYFUNCTION("""COMPUTED_VALUE"""),40778.6666666666)</f>
        <v>40778.666666666599</v>
      </c>
      <c r="B236" s="4">
        <f ca="1">IFERROR(__xludf.DUMMYFUNCTION("""COMPUTED_VALUE"""),259.41)</f>
        <v>259.41000000000003</v>
      </c>
      <c r="C236" s="5">
        <f t="shared" ca="1" si="0"/>
        <v>4.0635691636197402E-2</v>
      </c>
    </row>
    <row r="237" spans="1:3" ht="13" x14ac:dyDescent="0.15">
      <c r="A237" s="3">
        <f ca="1">IFERROR(__xludf.DUMMYFUNCTION("""COMPUTED_VALUE"""),40779.6666666666)</f>
        <v>40779.666666666599</v>
      </c>
      <c r="B237" s="4">
        <f ca="1">IFERROR(__xludf.DUMMYFUNCTION("""COMPUTED_VALUE"""),261.64)</f>
        <v>261.64</v>
      </c>
      <c r="C237" s="5">
        <f t="shared" ca="1" si="0"/>
        <v>8.5596914525632294E-3</v>
      </c>
    </row>
    <row r="238" spans="1:3" ht="13" x14ac:dyDescent="0.15">
      <c r="A238" s="3">
        <f ca="1">IFERROR(__xludf.DUMMYFUNCTION("""COMPUTED_VALUE"""),40780.6666666666)</f>
        <v>40780.666666666599</v>
      </c>
      <c r="B238" s="4">
        <f ca="1">IFERROR(__xludf.DUMMYFUNCTION("""COMPUTED_VALUE"""),260.01)</f>
        <v>260.01</v>
      </c>
      <c r="C238" s="5">
        <f t="shared" ca="1" si="0"/>
        <v>-6.2494212786487584E-3</v>
      </c>
    </row>
    <row r="239" spans="1:3" ht="13" x14ac:dyDescent="0.15">
      <c r="A239" s="3">
        <f ca="1">IFERROR(__xludf.DUMMYFUNCTION("""COMPUTED_VALUE"""),40781.6666666666)</f>
        <v>40781.666666666599</v>
      </c>
      <c r="B239" s="4">
        <f ca="1">IFERROR(__xludf.DUMMYFUNCTION("""COMPUTED_VALUE"""),263.43)</f>
        <v>263.43</v>
      </c>
      <c r="C239" s="5">
        <f t="shared" ca="1" si="0"/>
        <v>1.3067586225650725E-2</v>
      </c>
    </row>
    <row r="240" spans="1:3" ht="13" x14ac:dyDescent="0.15">
      <c r="A240" s="3">
        <f ca="1">IFERROR(__xludf.DUMMYFUNCTION("""COMPUTED_VALUE"""),40784.6666666666)</f>
        <v>40784.666666666599</v>
      </c>
      <c r="B240" s="4">
        <f ca="1">IFERROR(__xludf.DUMMYFUNCTION("""COMPUTED_VALUE"""),269.54)</f>
        <v>269.54000000000002</v>
      </c>
      <c r="C240" s="5">
        <f t="shared" ca="1" si="0"/>
        <v>2.2929124300999467E-2</v>
      </c>
    </row>
    <row r="241" spans="1:3" ht="13" x14ac:dyDescent="0.15">
      <c r="A241" s="3">
        <f ca="1">IFERROR(__xludf.DUMMYFUNCTION("""COMPUTED_VALUE"""),40785.6666666666)</f>
        <v>40785.666666666599</v>
      </c>
      <c r="B241" s="4">
        <f ca="1">IFERROR(__xludf.DUMMYFUNCTION("""COMPUTED_VALUE"""),270.35)</f>
        <v>270.35000000000002</v>
      </c>
      <c r="C241" s="5">
        <f t="shared" ca="1" si="0"/>
        <v>3.000613487000584E-3</v>
      </c>
    </row>
    <row r="242" spans="1:3" ht="13" x14ac:dyDescent="0.15">
      <c r="A242" s="3">
        <f ca="1">IFERROR(__xludf.DUMMYFUNCTION("""COMPUTED_VALUE"""),40786.6666666666)</f>
        <v>40786.666666666599</v>
      </c>
      <c r="B242" s="4">
        <f ca="1">IFERROR(__xludf.DUMMYFUNCTION("""COMPUTED_VALUE"""),270.48)</f>
        <v>270.48</v>
      </c>
      <c r="C242" s="5">
        <f t="shared" ca="1" si="0"/>
        <v>4.8074257161674513E-4</v>
      </c>
    </row>
    <row r="243" spans="1:3" ht="13" x14ac:dyDescent="0.15">
      <c r="A243" s="3">
        <f ca="1">IFERROR(__xludf.DUMMYFUNCTION("""COMPUTED_VALUE"""),40787.6666666666)</f>
        <v>40787.666666666599</v>
      </c>
      <c r="B243" s="4">
        <f ca="1">IFERROR(__xludf.DUMMYFUNCTION("""COMPUTED_VALUE"""),266.25)</f>
        <v>266.25</v>
      </c>
      <c r="C243" s="5">
        <f t="shared" ca="1" si="0"/>
        <v>-1.5762441375995719E-2</v>
      </c>
    </row>
    <row r="244" spans="1:3" ht="13" x14ac:dyDescent="0.15">
      <c r="A244" s="3">
        <f ca="1">IFERROR(__xludf.DUMMYFUNCTION("""COMPUTED_VALUE"""),40788.6666666666)</f>
        <v>40788.666666666599</v>
      </c>
      <c r="B244" s="4">
        <f ca="1">IFERROR(__xludf.DUMMYFUNCTION("""COMPUTED_VALUE"""),262.42)</f>
        <v>262.42</v>
      </c>
      <c r="C244" s="5">
        <f t="shared" ca="1" si="0"/>
        <v>-1.4489443346065094E-2</v>
      </c>
    </row>
    <row r="245" spans="1:3" ht="13" x14ac:dyDescent="0.15">
      <c r="A245" s="3">
        <f ca="1">IFERROR(__xludf.DUMMYFUNCTION("""COMPUTED_VALUE"""),40792.6666666666)</f>
        <v>40792.666666666599</v>
      </c>
      <c r="B245" s="4">
        <f ca="1">IFERROR(__xludf.DUMMYFUNCTION("""COMPUTED_VALUE"""),261.08)</f>
        <v>261.08</v>
      </c>
      <c r="C245" s="5">
        <f t="shared" ca="1" si="0"/>
        <v>-5.1193999105531157E-3</v>
      </c>
    </row>
    <row r="246" spans="1:3" ht="13" x14ac:dyDescent="0.15">
      <c r="A246" s="3">
        <f ca="1">IFERROR(__xludf.DUMMYFUNCTION("""COMPUTED_VALUE"""),40793.6666666666)</f>
        <v>40793.666666666599</v>
      </c>
      <c r="B246" s="4">
        <f ca="1">IFERROR(__xludf.DUMMYFUNCTION("""COMPUTED_VALUE"""),267.01)</f>
        <v>267.01</v>
      </c>
      <c r="C246" s="5">
        <f t="shared" ca="1" si="0"/>
        <v>2.2459237115400574E-2</v>
      </c>
    </row>
    <row r="247" spans="1:3" ht="13" x14ac:dyDescent="0.15">
      <c r="A247" s="3">
        <f ca="1">IFERROR(__xludf.DUMMYFUNCTION("""COMPUTED_VALUE"""),40794.6666666666)</f>
        <v>40794.666666666599</v>
      </c>
      <c r="B247" s="4">
        <f ca="1">IFERROR(__xludf.DUMMYFUNCTION("""COMPUTED_VALUE"""),267.48)</f>
        <v>267.48</v>
      </c>
      <c r="C247" s="5">
        <f t="shared" ca="1" si="0"/>
        <v>1.7586863033607326E-3</v>
      </c>
    </row>
    <row r="248" spans="1:3" ht="13" x14ac:dyDescent="0.15">
      <c r="A248" s="3">
        <f ca="1">IFERROR(__xludf.DUMMYFUNCTION("""COMPUTED_VALUE"""),40795.6666666666)</f>
        <v>40795.666666666599</v>
      </c>
      <c r="B248" s="4">
        <f ca="1">IFERROR(__xludf.DUMMYFUNCTION("""COMPUTED_VALUE"""),262.42)</f>
        <v>262.42</v>
      </c>
      <c r="C248" s="5">
        <f t="shared" ca="1" si="0"/>
        <v>-1.9098523508208134E-2</v>
      </c>
    </row>
    <row r="249" spans="1:3" ht="13" x14ac:dyDescent="0.15">
      <c r="A249" s="3">
        <f ca="1">IFERROR(__xludf.DUMMYFUNCTION("""COMPUTED_VALUE"""),40798.6666666666)</f>
        <v>40798.666666666599</v>
      </c>
      <c r="B249" s="4">
        <f ca="1">IFERROR(__xludf.DUMMYFUNCTION("""COMPUTED_VALUE"""),265.06)</f>
        <v>265.06</v>
      </c>
      <c r="C249" s="5">
        <f t="shared" ca="1" si="0"/>
        <v>1.0009941774962981E-2</v>
      </c>
    </row>
    <row r="250" spans="1:3" ht="13" x14ac:dyDescent="0.15">
      <c r="A250" s="3">
        <f ca="1">IFERROR(__xludf.DUMMYFUNCTION("""COMPUTED_VALUE"""),40799.6666666666)</f>
        <v>40799.666666666599</v>
      </c>
      <c r="B250" s="4">
        <f ca="1">IFERROR(__xludf.DUMMYFUNCTION("""COMPUTED_VALUE"""),264.76)</f>
        <v>264.76</v>
      </c>
      <c r="C250" s="5">
        <f t="shared" ca="1" si="0"/>
        <v>-1.1324602018106746E-3</v>
      </c>
    </row>
    <row r="251" spans="1:3" ht="13" x14ac:dyDescent="0.15">
      <c r="A251" s="3">
        <f ca="1">IFERROR(__xludf.DUMMYFUNCTION("""COMPUTED_VALUE"""),40800.6666666666)</f>
        <v>40800.666666666599</v>
      </c>
      <c r="B251" s="4">
        <f ca="1">IFERROR(__xludf.DUMMYFUNCTION("""COMPUTED_VALUE"""),266.03)</f>
        <v>266.02999999999997</v>
      </c>
      <c r="C251" s="5">
        <f t="shared" ca="1" si="0"/>
        <v>4.7853291264577432E-3</v>
      </c>
    </row>
    <row r="252" spans="1:3" ht="13" x14ac:dyDescent="0.15">
      <c r="A252" s="3">
        <f ca="1">IFERROR(__xludf.DUMMYFUNCTION("""COMPUTED_VALUE"""),40801.6666666666)</f>
        <v>40801.666666666599</v>
      </c>
      <c r="B252" s="4">
        <f ca="1">IFERROR(__xludf.DUMMYFUNCTION("""COMPUTED_VALUE"""),271.27)</f>
        <v>271.27</v>
      </c>
      <c r="C252" s="5">
        <f t="shared" ca="1" si="0"/>
        <v>1.9505550478260272E-2</v>
      </c>
    </row>
    <row r="253" spans="1:3" ht="13" x14ac:dyDescent="0.15">
      <c r="A253" s="3">
        <f ca="1">IFERROR(__xludf.DUMMYFUNCTION("""COMPUTED_VALUE"""),40802.6666666666)</f>
        <v>40802.666666666599</v>
      </c>
      <c r="B253" s="4">
        <f ca="1">IFERROR(__xludf.DUMMYFUNCTION("""COMPUTED_VALUE"""),273.33)</f>
        <v>273.33</v>
      </c>
      <c r="C253" s="5">
        <f t="shared" ca="1" si="0"/>
        <v>7.565221538436878E-3</v>
      </c>
    </row>
    <row r="254" spans="1:3" ht="13" x14ac:dyDescent="0.15">
      <c r="A254" s="3">
        <f ca="1">IFERROR(__xludf.DUMMYFUNCTION("""COMPUTED_VALUE"""),40805.6666666666)</f>
        <v>40805.666666666599</v>
      </c>
      <c r="B254" s="4">
        <f ca="1">IFERROR(__xludf.DUMMYFUNCTION("""COMPUTED_VALUE"""),273.33)</f>
        <v>273.33</v>
      </c>
      <c r="C254" s="5">
        <f t="shared" ca="1" si="0"/>
        <v>0</v>
      </c>
    </row>
    <row r="255" spans="1:3" ht="13" x14ac:dyDescent="0.15">
      <c r="A255" s="3">
        <f ca="1">IFERROR(__xludf.DUMMYFUNCTION("""COMPUTED_VALUE"""),40806.6666666666)</f>
        <v>40806.666666666599</v>
      </c>
      <c r="B255" s="4">
        <f ca="1">IFERROR(__xludf.DUMMYFUNCTION("""COMPUTED_VALUE"""),273.31)</f>
        <v>273.31</v>
      </c>
      <c r="C255" s="5">
        <f t="shared" ca="1" si="0"/>
        <v>-7.3174301217956042E-5</v>
      </c>
    </row>
    <row r="256" spans="1:3" ht="13" x14ac:dyDescent="0.15">
      <c r="A256" s="3">
        <f ca="1">IFERROR(__xludf.DUMMYFUNCTION("""COMPUTED_VALUE"""),40807.6666666666)</f>
        <v>40807.666666666599</v>
      </c>
      <c r="B256" s="4">
        <f ca="1">IFERROR(__xludf.DUMMYFUNCTION("""COMPUTED_VALUE"""),269.6)</f>
        <v>269.60000000000002</v>
      </c>
      <c r="C256" s="5">
        <f t="shared" ca="1" si="0"/>
        <v>-1.3667303054506631E-2</v>
      </c>
    </row>
    <row r="257" spans="1:3" ht="13" x14ac:dyDescent="0.15">
      <c r="A257" s="3">
        <f ca="1">IFERROR(__xludf.DUMMYFUNCTION("""COMPUTED_VALUE"""),40808.6666666666)</f>
        <v>40808.666666666599</v>
      </c>
      <c r="B257" s="4">
        <f ca="1">IFERROR(__xludf.DUMMYFUNCTION("""COMPUTED_VALUE"""),260.32)</f>
        <v>260.32</v>
      </c>
      <c r="C257" s="5">
        <f t="shared" ca="1" si="0"/>
        <v>-3.5027735567424452E-2</v>
      </c>
    </row>
    <row r="258" spans="1:3" ht="13" x14ac:dyDescent="0.15">
      <c r="A258" s="3">
        <f ca="1">IFERROR(__xludf.DUMMYFUNCTION("""COMPUTED_VALUE"""),40809.6666666666)</f>
        <v>40809.666666666599</v>
      </c>
      <c r="B258" s="4">
        <f ca="1">IFERROR(__xludf.DUMMYFUNCTION("""COMPUTED_VALUE"""),262.75)</f>
        <v>262.75</v>
      </c>
      <c r="C258" s="5">
        <f t="shared" ca="1" si="0"/>
        <v>9.2913662863328018E-3</v>
      </c>
    </row>
    <row r="259" spans="1:3" ht="13" x14ac:dyDescent="0.15">
      <c r="A259" s="3">
        <f ca="1">IFERROR(__xludf.DUMMYFUNCTION("""COMPUTED_VALUE"""),40812.6666666666)</f>
        <v>40812.666666666599</v>
      </c>
      <c r="B259" s="4">
        <f ca="1">IFERROR(__xludf.DUMMYFUNCTION("""COMPUTED_VALUE"""),265.94)</f>
        <v>265.94</v>
      </c>
      <c r="C259" s="5">
        <f t="shared" ca="1" si="0"/>
        <v>1.2067709671499217E-2</v>
      </c>
    </row>
    <row r="260" spans="1:3" ht="13" x14ac:dyDescent="0.15">
      <c r="A260" s="3">
        <f ca="1">IFERROR(__xludf.DUMMYFUNCTION("""COMPUTED_VALUE"""),40813.6666666666)</f>
        <v>40813.666666666599</v>
      </c>
      <c r="B260" s="4">
        <f ca="1">IFERROR(__xludf.DUMMYFUNCTION("""COMPUTED_VALUE"""),269.67)</f>
        <v>269.67</v>
      </c>
      <c r="C260" s="5">
        <f t="shared" ca="1" si="0"/>
        <v>1.392826982485788E-2</v>
      </c>
    </row>
    <row r="261" spans="1:3" ht="13" x14ac:dyDescent="0.15">
      <c r="A261" s="3">
        <f ca="1">IFERROR(__xludf.DUMMYFUNCTION("""COMPUTED_VALUE"""),40814.6666666666)</f>
        <v>40814.666666666599</v>
      </c>
      <c r="B261" s="4">
        <f ca="1">IFERROR(__xludf.DUMMYFUNCTION("""COMPUTED_VALUE"""),264.42)</f>
        <v>264.42</v>
      </c>
      <c r="C261" s="5">
        <f t="shared" ca="1" si="0"/>
        <v>-1.966024117146694E-2</v>
      </c>
    </row>
    <row r="262" spans="1:3" ht="13" x14ac:dyDescent="0.15">
      <c r="A262" s="3">
        <f ca="1">IFERROR(__xludf.DUMMYFUNCTION("""COMPUTED_VALUE"""),40815.6666666666)</f>
        <v>40815.666666666599</v>
      </c>
      <c r="B262" s="4">
        <f ca="1">IFERROR(__xludf.DUMMYFUNCTION("""COMPUTED_VALUE"""),263.75)</f>
        <v>263.75</v>
      </c>
      <c r="C262" s="5">
        <f t="shared" ca="1" si="0"/>
        <v>-2.537063291674386E-3</v>
      </c>
    </row>
    <row r="263" spans="1:3" ht="13" x14ac:dyDescent="0.15">
      <c r="A263" s="3">
        <f ca="1">IFERROR(__xludf.DUMMYFUNCTION("""COMPUTED_VALUE"""),40816.6666666666)</f>
        <v>40816.666666666599</v>
      </c>
      <c r="B263" s="4">
        <f ca="1">IFERROR(__xludf.DUMMYFUNCTION("""COMPUTED_VALUE"""),257.51)</f>
        <v>257.51</v>
      </c>
      <c r="C263" s="5">
        <f t="shared" ca="1" si="0"/>
        <v>-2.394313048908632E-2</v>
      </c>
    </row>
    <row r="264" spans="1:3" ht="13" x14ac:dyDescent="0.15">
      <c r="A264" s="3">
        <f ca="1">IFERROR(__xludf.DUMMYFUNCTION("""COMPUTED_VALUE"""),40819.6666666666)</f>
        <v>40819.666666666599</v>
      </c>
      <c r="B264" s="4">
        <f ca="1">IFERROR(__xludf.DUMMYFUNCTION("""COMPUTED_VALUE"""),247.76)</f>
        <v>247.76</v>
      </c>
      <c r="C264" s="5">
        <f t="shared" ca="1" si="0"/>
        <v>-3.8598018636242633E-2</v>
      </c>
    </row>
    <row r="265" spans="1:3" ht="13" x14ac:dyDescent="0.15">
      <c r="A265" s="3">
        <f ca="1">IFERROR(__xludf.DUMMYFUNCTION("""COMPUTED_VALUE"""),40820.6666666666)</f>
        <v>40820.666666666599</v>
      </c>
      <c r="B265" s="4">
        <f ca="1">IFERROR(__xludf.DUMMYFUNCTION("""COMPUTED_VALUE"""),250.95)</f>
        <v>250.95</v>
      </c>
      <c r="C265" s="5">
        <f t="shared" ca="1" si="0"/>
        <v>1.2793180435995326E-2</v>
      </c>
    </row>
    <row r="266" spans="1:3" ht="13" x14ac:dyDescent="0.15">
      <c r="A266" s="3">
        <f ca="1">IFERROR(__xludf.DUMMYFUNCTION("""COMPUTED_VALUE"""),40821.6666666666)</f>
        <v>40821.666666666599</v>
      </c>
      <c r="B266" s="4">
        <f ca="1">IFERROR(__xludf.DUMMYFUNCTION("""COMPUTED_VALUE"""),252.35)</f>
        <v>252.35</v>
      </c>
      <c r="C266" s="5">
        <f t="shared" ca="1" si="0"/>
        <v>5.5632966853287318E-3</v>
      </c>
    </row>
    <row r="267" spans="1:3" ht="13" x14ac:dyDescent="0.15">
      <c r="A267" s="3">
        <f ca="1">IFERROR(__xludf.DUMMYFUNCTION("""COMPUTED_VALUE"""),40822.6666666666)</f>
        <v>40822.666666666599</v>
      </c>
      <c r="B267" s="4">
        <f ca="1">IFERROR(__xludf.DUMMYFUNCTION("""COMPUTED_VALUE"""),257.35)</f>
        <v>257.35000000000002</v>
      </c>
      <c r="C267" s="5">
        <f t="shared" ca="1" si="0"/>
        <v>1.9620013312492322E-2</v>
      </c>
    </row>
    <row r="268" spans="1:3" ht="13" x14ac:dyDescent="0.15">
      <c r="A268" s="3">
        <f ca="1">IFERROR(__xludf.DUMMYFUNCTION("""COMPUTED_VALUE"""),40823.6666666666)</f>
        <v>40823.666666666599</v>
      </c>
      <c r="B268" s="4">
        <f ca="1">IFERROR(__xludf.DUMMYFUNCTION("""COMPUTED_VALUE"""),257.56)</f>
        <v>257.56</v>
      </c>
      <c r="C268" s="5">
        <f t="shared" ca="1" si="0"/>
        <v>8.1567657121906488E-4</v>
      </c>
    </row>
    <row r="269" spans="1:3" ht="13" x14ac:dyDescent="0.15">
      <c r="A269" s="3">
        <f ca="1">IFERROR(__xludf.DUMMYFUNCTION("""COMPUTED_VALUE"""),40826.6666666666)</f>
        <v>40826.666666666599</v>
      </c>
      <c r="B269" s="4">
        <f ca="1">IFERROR(__xludf.DUMMYFUNCTION("""COMPUTED_VALUE"""),268.58)</f>
        <v>268.58</v>
      </c>
      <c r="C269" s="5">
        <f t="shared" ca="1" si="0"/>
        <v>4.1896118483046349E-2</v>
      </c>
    </row>
    <row r="270" spans="1:3" ht="13" x14ac:dyDescent="0.15">
      <c r="A270" s="3">
        <f ca="1">IFERROR(__xludf.DUMMYFUNCTION("""COMPUTED_VALUE"""),40827.6666666666)</f>
        <v>40827.666666666599</v>
      </c>
      <c r="B270" s="4">
        <f ca="1">IFERROR(__xludf.DUMMYFUNCTION("""COMPUTED_VALUE"""),271.58)</f>
        <v>271.58</v>
      </c>
      <c r="C270" s="5">
        <f t="shared" ca="1" si="0"/>
        <v>1.1107934117619527E-2</v>
      </c>
    </row>
    <row r="271" spans="1:3" ht="13" x14ac:dyDescent="0.15">
      <c r="A271" s="3">
        <f ca="1">IFERROR(__xludf.DUMMYFUNCTION("""COMPUTED_VALUE"""),40828.6666666666)</f>
        <v>40828.666666666599</v>
      </c>
      <c r="B271" s="4">
        <f ca="1">IFERROR(__xludf.DUMMYFUNCTION("""COMPUTED_VALUE"""),274.25)</f>
        <v>274.25</v>
      </c>
      <c r="C271" s="5">
        <f t="shared" ca="1" si="0"/>
        <v>9.7833438846910703E-3</v>
      </c>
    </row>
    <row r="272" spans="1:3" ht="13" x14ac:dyDescent="0.15">
      <c r="A272" s="3">
        <f ca="1">IFERROR(__xludf.DUMMYFUNCTION("""COMPUTED_VALUE"""),40829.6666666666)</f>
        <v>40829.666666666599</v>
      </c>
      <c r="B272" s="4">
        <f ca="1">IFERROR(__xludf.DUMMYFUNCTION("""COMPUTED_VALUE"""),279.49)</f>
        <v>279.49</v>
      </c>
      <c r="C272" s="5">
        <f t="shared" ca="1" si="0"/>
        <v>1.8926414624447111E-2</v>
      </c>
    </row>
    <row r="273" spans="1:3" ht="13" x14ac:dyDescent="0.15">
      <c r="A273" s="3">
        <f ca="1">IFERROR(__xludf.DUMMYFUNCTION("""COMPUTED_VALUE"""),40830.6666666666)</f>
        <v>40830.666666666599</v>
      </c>
      <c r="B273" s="4">
        <f ca="1">IFERROR(__xludf.DUMMYFUNCTION("""COMPUTED_VALUE"""),295.83)</f>
        <v>295.83</v>
      </c>
      <c r="C273" s="5">
        <f t="shared" ca="1" si="0"/>
        <v>5.6818451232560817E-2</v>
      </c>
    </row>
    <row r="274" spans="1:3" ht="13" x14ac:dyDescent="0.15">
      <c r="A274" s="3">
        <f ca="1">IFERROR(__xludf.DUMMYFUNCTION("""COMPUTED_VALUE"""),40833.6666666666)</f>
        <v>40833.666666666599</v>
      </c>
      <c r="B274" s="4">
        <f ca="1">IFERROR(__xludf.DUMMYFUNCTION("""COMPUTED_VALUE"""),291.2)</f>
        <v>291.2</v>
      </c>
      <c r="C274" s="5">
        <f t="shared" ca="1" si="0"/>
        <v>-1.5774648689816501E-2</v>
      </c>
    </row>
    <row r="275" spans="1:3" ht="13" x14ac:dyDescent="0.15">
      <c r="A275" s="3">
        <f ca="1">IFERROR(__xludf.DUMMYFUNCTION("""COMPUTED_VALUE"""),40834.6666666666)</f>
        <v>40834.666666666599</v>
      </c>
      <c r="B275" s="4">
        <f ca="1">IFERROR(__xludf.DUMMYFUNCTION("""COMPUTED_VALUE"""),295.25)</f>
        <v>295.25</v>
      </c>
      <c r="C275" s="5">
        <f t="shared" ca="1" si="0"/>
        <v>1.3812138754940898E-2</v>
      </c>
    </row>
    <row r="276" spans="1:3" ht="13" x14ac:dyDescent="0.15">
      <c r="A276" s="3">
        <f ca="1">IFERROR(__xludf.DUMMYFUNCTION("""COMPUTED_VALUE"""),40835.6666666666)</f>
        <v>40835.666666666599</v>
      </c>
      <c r="B276" s="4">
        <f ca="1">IFERROR(__xludf.DUMMYFUNCTION("""COMPUTED_VALUE"""),290.35)</f>
        <v>290.35000000000002</v>
      </c>
      <c r="C276" s="5">
        <f t="shared" ca="1" si="0"/>
        <v>-1.6735363259412755E-2</v>
      </c>
    </row>
    <row r="277" spans="1:3" ht="13" x14ac:dyDescent="0.15">
      <c r="A277" s="3">
        <f ca="1">IFERROR(__xludf.DUMMYFUNCTION("""COMPUTED_VALUE"""),40836.6666666666)</f>
        <v>40836.666666666599</v>
      </c>
      <c r="B277" s="4">
        <f ca="1">IFERROR(__xludf.DUMMYFUNCTION("""COMPUTED_VALUE"""),291.83)</f>
        <v>291.83</v>
      </c>
      <c r="C277" s="5">
        <f t="shared" ca="1" si="0"/>
        <v>5.0843491299598469E-3</v>
      </c>
    </row>
    <row r="278" spans="1:3" ht="13" x14ac:dyDescent="0.15">
      <c r="A278" s="3">
        <f ca="1">IFERROR(__xludf.DUMMYFUNCTION("""COMPUTED_VALUE"""),40837.6666666666)</f>
        <v>40837.666666666599</v>
      </c>
      <c r="B278" s="4">
        <f ca="1">IFERROR(__xludf.DUMMYFUNCTION("""COMPUTED_VALUE"""),295.24)</f>
        <v>295.24</v>
      </c>
      <c r="C278" s="5">
        <f t="shared" ca="1" si="0"/>
        <v>1.1617143953832907E-2</v>
      </c>
    </row>
    <row r="279" spans="1:3" ht="13" x14ac:dyDescent="0.15">
      <c r="A279" s="3">
        <f ca="1">IFERROR(__xludf.DUMMYFUNCTION("""COMPUTED_VALUE"""),40840.6666666666)</f>
        <v>40840.666666666599</v>
      </c>
      <c r="B279" s="4">
        <f ca="1">IFERROR(__xludf.DUMMYFUNCTION("""COMPUTED_VALUE"""),298.2)</f>
        <v>298.2</v>
      </c>
      <c r="C279" s="5">
        <f t="shared" ca="1" si="0"/>
        <v>9.9758174287863655E-3</v>
      </c>
    </row>
    <row r="280" spans="1:3" ht="13" x14ac:dyDescent="0.15">
      <c r="A280" s="3">
        <f ca="1">IFERROR(__xludf.DUMMYFUNCTION("""COMPUTED_VALUE"""),40841.6666666666)</f>
        <v>40841.666666666599</v>
      </c>
      <c r="B280" s="4">
        <f ca="1">IFERROR(__xludf.DUMMYFUNCTION("""COMPUTED_VALUE"""),291.57)</f>
        <v>291.57</v>
      </c>
      <c r="C280" s="5">
        <f t="shared" ca="1" si="0"/>
        <v>-2.2484288147149138E-2</v>
      </c>
    </row>
    <row r="281" spans="1:3" ht="13" x14ac:dyDescent="0.15">
      <c r="A281" s="3">
        <f ca="1">IFERROR(__xludf.DUMMYFUNCTION("""COMPUTED_VALUE"""),40842.6666666666)</f>
        <v>40842.666666666599</v>
      </c>
      <c r="B281" s="4">
        <f ca="1">IFERROR(__xludf.DUMMYFUNCTION("""COMPUTED_VALUE"""),293.15)</f>
        <v>293.14999999999998</v>
      </c>
      <c r="C281" s="5">
        <f t="shared" ca="1" si="0"/>
        <v>5.4043092267350695E-3</v>
      </c>
    </row>
    <row r="282" spans="1:3" ht="13" x14ac:dyDescent="0.15">
      <c r="A282" s="3">
        <f ca="1">IFERROR(__xludf.DUMMYFUNCTION("""COMPUTED_VALUE"""),40843.6666666666)</f>
        <v>40843.666666666599</v>
      </c>
      <c r="B282" s="4">
        <f ca="1">IFERROR(__xludf.DUMMYFUNCTION("""COMPUTED_VALUE"""),299.33)</f>
        <v>299.33</v>
      </c>
      <c r="C282" s="5">
        <f t="shared" ca="1" si="0"/>
        <v>2.0862220304400634E-2</v>
      </c>
    </row>
    <row r="283" spans="1:3" ht="13" x14ac:dyDescent="0.15">
      <c r="A283" s="3">
        <f ca="1">IFERROR(__xludf.DUMMYFUNCTION("""COMPUTED_VALUE"""),40844.6666666666)</f>
        <v>40844.666666666599</v>
      </c>
      <c r="B283" s="4">
        <f ca="1">IFERROR(__xludf.DUMMYFUNCTION("""COMPUTED_VALUE"""),300.07)</f>
        <v>300.07</v>
      </c>
      <c r="C283" s="5">
        <f t="shared" ca="1" si="0"/>
        <v>2.4691370569213276E-3</v>
      </c>
    </row>
    <row r="284" spans="1:3" ht="13" x14ac:dyDescent="0.15">
      <c r="A284" s="3">
        <f ca="1">IFERROR(__xludf.DUMMYFUNCTION("""COMPUTED_VALUE"""),40847.6666666666)</f>
        <v>40847.666666666599</v>
      </c>
      <c r="B284" s="4">
        <f ca="1">IFERROR(__xludf.DUMMYFUNCTION("""COMPUTED_VALUE"""),296.32)</f>
        <v>296.32</v>
      </c>
      <c r="C284" s="5">
        <f t="shared" ca="1" si="0"/>
        <v>-1.2575829313731482E-2</v>
      </c>
    </row>
    <row r="285" spans="1:3" ht="13" x14ac:dyDescent="0.15">
      <c r="A285" s="3">
        <f ca="1">IFERROR(__xludf.DUMMYFUNCTION("""COMPUTED_VALUE"""),40848.6666666666)</f>
        <v>40848.666666666599</v>
      </c>
      <c r="B285" s="4">
        <f ca="1">IFERROR(__xludf.DUMMYFUNCTION("""COMPUTED_VALUE"""),289.32)</f>
        <v>289.32</v>
      </c>
      <c r="C285" s="5">
        <f t="shared" ca="1" si="0"/>
        <v>-2.3906609476734564E-2</v>
      </c>
    </row>
    <row r="286" spans="1:3" ht="13" x14ac:dyDescent="0.15">
      <c r="A286" s="3">
        <f ca="1">IFERROR(__xludf.DUMMYFUNCTION("""COMPUTED_VALUE"""),40849.6666666666)</f>
        <v>40849.666666666599</v>
      </c>
      <c r="B286" s="4">
        <f ca="1">IFERROR(__xludf.DUMMYFUNCTION("""COMPUTED_VALUE"""),292.41)</f>
        <v>292.41000000000003</v>
      </c>
      <c r="C286" s="5">
        <f t="shared" ca="1" si="0"/>
        <v>1.0623585036148509E-2</v>
      </c>
    </row>
    <row r="287" spans="1:3" ht="13" x14ac:dyDescent="0.15">
      <c r="A287" s="3">
        <f ca="1">IFERROR(__xludf.DUMMYFUNCTION("""COMPUTED_VALUE"""),40850.6666666666)</f>
        <v>40850.666666666599</v>
      </c>
      <c r="B287" s="4">
        <f ca="1">IFERROR(__xludf.DUMMYFUNCTION("""COMPUTED_VALUE"""),298.75)</f>
        <v>298.75</v>
      </c>
      <c r="C287" s="5">
        <f t="shared" ca="1" si="0"/>
        <v>2.1450176228491928E-2</v>
      </c>
    </row>
    <row r="288" spans="1:3" ht="13" x14ac:dyDescent="0.15">
      <c r="A288" s="3">
        <f ca="1">IFERROR(__xludf.DUMMYFUNCTION("""COMPUTED_VALUE"""),40851.6666666666)</f>
        <v>40851.666666666599</v>
      </c>
      <c r="B288" s="4">
        <f ca="1">IFERROR(__xludf.DUMMYFUNCTION("""COMPUTED_VALUE"""),298.07)</f>
        <v>298.07</v>
      </c>
      <c r="C288" s="5">
        <f t="shared" ca="1" si="0"/>
        <v>-2.2787449959846616E-3</v>
      </c>
    </row>
    <row r="289" spans="1:3" ht="13" x14ac:dyDescent="0.15">
      <c r="A289" s="3">
        <f ca="1">IFERROR(__xludf.DUMMYFUNCTION("""COMPUTED_VALUE"""),40854.6666666666)</f>
        <v>40854.666666666599</v>
      </c>
      <c r="B289" s="4">
        <f ca="1">IFERROR(__xludf.DUMMYFUNCTION("""COMPUTED_VALUE"""),304.16)</f>
        <v>304.16000000000003</v>
      </c>
      <c r="C289" s="5">
        <f t="shared" ca="1" si="0"/>
        <v>2.0225520490383411E-2</v>
      </c>
    </row>
    <row r="290" spans="1:3" ht="13" x14ac:dyDescent="0.15">
      <c r="A290" s="3">
        <f ca="1">IFERROR(__xludf.DUMMYFUNCTION("""COMPUTED_VALUE"""),40855.6666666666)</f>
        <v>40855.666666666599</v>
      </c>
      <c r="B290" s="4">
        <f ca="1">IFERROR(__xludf.DUMMYFUNCTION("""COMPUTED_VALUE"""),306.17)</f>
        <v>306.17</v>
      </c>
      <c r="C290" s="5">
        <f t="shared" ca="1" si="0"/>
        <v>6.5866245039617431E-3</v>
      </c>
    </row>
    <row r="291" spans="1:3" ht="13" x14ac:dyDescent="0.15">
      <c r="A291" s="3">
        <f ca="1">IFERROR(__xludf.DUMMYFUNCTION("""COMPUTED_VALUE"""),40856.6666666666)</f>
        <v>40856.666666666599</v>
      </c>
      <c r="B291" s="4">
        <f ca="1">IFERROR(__xludf.DUMMYFUNCTION("""COMPUTED_VALUE"""),300.47)</f>
        <v>300.47000000000003</v>
      </c>
      <c r="C291" s="5">
        <f t="shared" ca="1" si="0"/>
        <v>-1.8792587863173994E-2</v>
      </c>
    </row>
    <row r="292" spans="1:3" ht="13" x14ac:dyDescent="0.15">
      <c r="A292" s="3">
        <f ca="1">IFERROR(__xludf.DUMMYFUNCTION("""COMPUTED_VALUE"""),40857.6666666666)</f>
        <v>40857.666666666599</v>
      </c>
      <c r="B292" s="4">
        <f ca="1">IFERROR(__xludf.DUMMYFUNCTION("""COMPUTED_VALUE"""),297.54)</f>
        <v>297.54000000000002</v>
      </c>
      <c r="C292" s="5">
        <f t="shared" ca="1" si="0"/>
        <v>-9.7992456518092973E-3</v>
      </c>
    </row>
    <row r="293" spans="1:3" ht="13" x14ac:dyDescent="0.15">
      <c r="A293" s="3">
        <f ca="1">IFERROR(__xludf.DUMMYFUNCTION("""COMPUTED_VALUE"""),40858.6666666666)</f>
        <v>40858.666666666599</v>
      </c>
      <c r="B293" s="4">
        <f ca="1">IFERROR(__xludf.DUMMYFUNCTION("""COMPUTED_VALUE"""),304.17)</f>
        <v>304.17</v>
      </c>
      <c r="C293" s="5">
        <f t="shared" ca="1" si="0"/>
        <v>2.2038085903500648E-2</v>
      </c>
    </row>
    <row r="294" spans="1:3" ht="13" x14ac:dyDescent="0.15">
      <c r="A294" s="3">
        <f ca="1">IFERROR(__xludf.DUMMYFUNCTION("""COMPUTED_VALUE"""),40861.6666666666)</f>
        <v>40861.666666666599</v>
      </c>
      <c r="B294" s="4">
        <f ca="1">IFERROR(__xludf.DUMMYFUNCTION("""COMPUTED_VALUE"""),306.5)</f>
        <v>306.5</v>
      </c>
      <c r="C294" s="5">
        <f t="shared" ca="1" si="0"/>
        <v>7.6309997436679999E-3</v>
      </c>
    </row>
    <row r="295" spans="1:3" ht="13" x14ac:dyDescent="0.15">
      <c r="A295" s="3">
        <f ca="1">IFERROR(__xludf.DUMMYFUNCTION("""COMPUTED_VALUE"""),40862.6666666666)</f>
        <v>40862.666666666599</v>
      </c>
      <c r="B295" s="4">
        <f ca="1">IFERROR(__xludf.DUMMYFUNCTION("""COMPUTED_VALUE"""),308.27)</f>
        <v>308.27</v>
      </c>
      <c r="C295" s="5">
        <f t="shared" ca="1" si="0"/>
        <v>5.7582669640645076E-3</v>
      </c>
    </row>
    <row r="296" spans="1:3" ht="13" x14ac:dyDescent="0.15">
      <c r="A296" s="3">
        <f ca="1">IFERROR(__xludf.DUMMYFUNCTION("""COMPUTED_VALUE"""),40863.6666666666)</f>
        <v>40863.666666666599</v>
      </c>
      <c r="B296" s="4">
        <f ca="1">IFERROR(__xludf.DUMMYFUNCTION("""COMPUTED_VALUE"""),305.73)</f>
        <v>305.73</v>
      </c>
      <c r="C296" s="5">
        <f t="shared" ca="1" si="0"/>
        <v>-8.2736628316185269E-3</v>
      </c>
    </row>
    <row r="297" spans="1:3" ht="13" x14ac:dyDescent="0.15">
      <c r="A297" s="3">
        <f ca="1">IFERROR(__xludf.DUMMYFUNCTION("""COMPUTED_VALUE"""),40864.6666666666)</f>
        <v>40864.666666666599</v>
      </c>
      <c r="B297" s="4">
        <f ca="1">IFERROR(__xludf.DUMMYFUNCTION("""COMPUTED_VALUE"""),300.43)</f>
        <v>300.43</v>
      </c>
      <c r="C297" s="5">
        <f t="shared" ca="1" si="0"/>
        <v>-1.7487577760885924E-2</v>
      </c>
    </row>
    <row r="298" spans="1:3" ht="13" x14ac:dyDescent="0.15">
      <c r="A298" s="3">
        <f ca="1">IFERROR(__xludf.DUMMYFUNCTION("""COMPUTED_VALUE"""),40865.6666666666)</f>
        <v>40865.666666666599</v>
      </c>
      <c r="B298" s="4">
        <f ca="1">IFERROR(__xludf.DUMMYFUNCTION("""COMPUTED_VALUE"""),297.44)</f>
        <v>297.44</v>
      </c>
      <c r="C298" s="5">
        <f t="shared" ca="1" si="0"/>
        <v>-1.0002257774692229E-2</v>
      </c>
    </row>
    <row r="299" spans="1:3" ht="13" x14ac:dyDescent="0.15">
      <c r="A299" s="3">
        <f ca="1">IFERROR(__xludf.DUMMYFUNCTION("""COMPUTED_VALUE"""),40868.6666666666)</f>
        <v>40868.666666666599</v>
      </c>
      <c r="B299" s="4">
        <f ca="1">IFERROR(__xludf.DUMMYFUNCTION("""COMPUTED_VALUE"""),290.47)</f>
        <v>290.47000000000003</v>
      </c>
      <c r="C299" s="5">
        <f t="shared" ca="1" si="0"/>
        <v>-2.3712223237656736E-2</v>
      </c>
    </row>
    <row r="300" spans="1:3" ht="13" x14ac:dyDescent="0.15">
      <c r="A300" s="3">
        <f ca="1">IFERROR(__xludf.DUMMYFUNCTION("""COMPUTED_VALUE"""),40869.6666666666)</f>
        <v>40869.666666666599</v>
      </c>
      <c r="B300" s="4">
        <f ca="1">IFERROR(__xludf.DUMMYFUNCTION("""COMPUTED_VALUE"""),290)</f>
        <v>290</v>
      </c>
      <c r="C300" s="5">
        <f t="shared" ca="1" si="0"/>
        <v>-1.6193777549573941E-3</v>
      </c>
    </row>
    <row r="301" spans="1:3" ht="13" x14ac:dyDescent="0.15">
      <c r="A301" s="3">
        <f ca="1">IFERROR(__xludf.DUMMYFUNCTION("""COMPUTED_VALUE"""),40870.6666666666)</f>
        <v>40870.666666666599</v>
      </c>
      <c r="B301" s="4">
        <f ca="1">IFERROR(__xludf.DUMMYFUNCTION("""COMPUTED_VALUE"""),285.05)</f>
        <v>285.05</v>
      </c>
      <c r="C301" s="5">
        <f t="shared" ca="1" si="0"/>
        <v>-1.721631950292881E-2</v>
      </c>
    </row>
    <row r="302" spans="1:3" ht="13" x14ac:dyDescent="0.15">
      <c r="A302" s="3">
        <f ca="1">IFERROR(__xludf.DUMMYFUNCTION("""COMPUTED_VALUE"""),40872.6666666666)</f>
        <v>40872.666666666599</v>
      </c>
      <c r="B302" s="4">
        <f ca="1">IFERROR(__xludf.DUMMYFUNCTION("""COMPUTED_VALUE"""),281.5)</f>
        <v>281.5</v>
      </c>
      <c r="C302" s="5">
        <f t="shared" ca="1" si="0"/>
        <v>-1.2532155897845813E-2</v>
      </c>
    </row>
    <row r="303" spans="1:3" ht="13" x14ac:dyDescent="0.15">
      <c r="A303" s="3">
        <f ca="1">IFERROR(__xludf.DUMMYFUNCTION("""COMPUTED_VALUE"""),40875.6666666666)</f>
        <v>40875.666666666599</v>
      </c>
      <c r="B303" s="4">
        <f ca="1">IFERROR(__xludf.DUMMYFUNCTION("""COMPUTED_VALUE"""),294.09)</f>
        <v>294.08999999999997</v>
      </c>
      <c r="C303" s="5">
        <f t="shared" ca="1" si="0"/>
        <v>4.3753395361999355E-2</v>
      </c>
    </row>
    <row r="304" spans="1:3" ht="13" x14ac:dyDescent="0.15">
      <c r="A304" s="3">
        <f ca="1">IFERROR(__xludf.DUMMYFUNCTION("""COMPUTED_VALUE"""),40876.6666666666)</f>
        <v>40876.666666666599</v>
      </c>
      <c r="B304" s="4">
        <f ca="1">IFERROR(__xludf.DUMMYFUNCTION("""COMPUTED_VALUE"""),291.46)</f>
        <v>291.45999999999998</v>
      </c>
      <c r="C304" s="5">
        <f t="shared" ca="1" si="0"/>
        <v>-8.9830678361938268E-3</v>
      </c>
    </row>
    <row r="305" spans="1:3" ht="13" x14ac:dyDescent="0.15">
      <c r="A305" s="3">
        <f ca="1">IFERROR(__xludf.DUMMYFUNCTION("""COMPUTED_VALUE"""),40877.6666666666)</f>
        <v>40877.666666666599</v>
      </c>
      <c r="B305" s="4">
        <f ca="1">IFERROR(__xludf.DUMMYFUNCTION("""COMPUTED_VALUE"""),299.69)</f>
        <v>299.69</v>
      </c>
      <c r="C305" s="5">
        <f t="shared" ca="1" si="0"/>
        <v>2.7845831960352913E-2</v>
      </c>
    </row>
    <row r="306" spans="1:3" ht="13" x14ac:dyDescent="0.15">
      <c r="A306" s="3">
        <f ca="1">IFERROR(__xludf.DUMMYFUNCTION("""COMPUTED_VALUE"""),40878.6666666666)</f>
        <v>40878.666666666599</v>
      </c>
      <c r="B306" s="4">
        <f ca="1">IFERROR(__xludf.DUMMYFUNCTION("""COMPUTED_VALUE"""),306.88)</f>
        <v>306.88</v>
      </c>
      <c r="C306" s="5">
        <f t="shared" ca="1" si="0"/>
        <v>2.3708184629169949E-2</v>
      </c>
    </row>
    <row r="307" spans="1:3" ht="13" x14ac:dyDescent="0.15">
      <c r="A307" s="3">
        <f ca="1">IFERROR(__xludf.DUMMYFUNCTION("""COMPUTED_VALUE"""),40879.6666666666)</f>
        <v>40879.666666666599</v>
      </c>
      <c r="B307" s="4">
        <f ca="1">IFERROR(__xludf.DUMMYFUNCTION("""COMPUTED_VALUE"""),310.18)</f>
        <v>310.18</v>
      </c>
      <c r="C307" s="5">
        <f t="shared" ca="1" si="0"/>
        <v>1.069598243623344E-2</v>
      </c>
    </row>
    <row r="308" spans="1:3" ht="13" x14ac:dyDescent="0.15">
      <c r="A308" s="3">
        <f ca="1">IFERROR(__xludf.DUMMYFUNCTION("""COMPUTED_VALUE"""),40882.6666666666)</f>
        <v>40882.666666666599</v>
      </c>
      <c r="B308" s="4">
        <f ca="1">IFERROR(__xludf.DUMMYFUNCTION("""COMPUTED_VALUE"""),312.82)</f>
        <v>312.82</v>
      </c>
      <c r="C308" s="5">
        <f t="shared" ca="1" si="0"/>
        <v>8.4751711147886561E-3</v>
      </c>
    </row>
    <row r="309" spans="1:3" ht="13" x14ac:dyDescent="0.15">
      <c r="A309" s="3">
        <f ca="1">IFERROR(__xludf.DUMMYFUNCTION("""COMPUTED_VALUE"""),40883.6666666666)</f>
        <v>40883.666666666599</v>
      </c>
      <c r="B309" s="4">
        <f ca="1">IFERROR(__xludf.DUMMYFUNCTION("""COMPUTED_VALUE"""),311.88)</f>
        <v>311.88</v>
      </c>
      <c r="C309" s="5">
        <f t="shared" ca="1" si="0"/>
        <v>-3.0094468046962786E-3</v>
      </c>
    </row>
    <row r="310" spans="1:3" ht="13" x14ac:dyDescent="0.15">
      <c r="A310" s="3">
        <f ca="1">IFERROR(__xludf.DUMMYFUNCTION("""COMPUTED_VALUE"""),40884.6666666666)</f>
        <v>40884.666666666599</v>
      </c>
      <c r="B310" s="4">
        <f ca="1">IFERROR(__xludf.DUMMYFUNCTION("""COMPUTED_VALUE"""),311.69)</f>
        <v>311.69</v>
      </c>
      <c r="C310" s="5">
        <f t="shared" ca="1" si="0"/>
        <v>-6.0939431300376459E-4</v>
      </c>
    </row>
    <row r="311" spans="1:3" ht="13" x14ac:dyDescent="0.15">
      <c r="A311" s="3">
        <f ca="1">IFERROR(__xludf.DUMMYFUNCTION("""COMPUTED_VALUE"""),40885.6666666666)</f>
        <v>40885.666666666599</v>
      </c>
      <c r="B311" s="4">
        <f ca="1">IFERROR(__xludf.DUMMYFUNCTION("""COMPUTED_VALUE"""),308.02)</f>
        <v>308.02</v>
      </c>
      <c r="C311" s="5">
        <f t="shared" ca="1" si="0"/>
        <v>-1.1844388198075971E-2</v>
      </c>
    </row>
    <row r="312" spans="1:3" ht="13" x14ac:dyDescent="0.15">
      <c r="A312" s="3">
        <f ca="1">IFERROR(__xludf.DUMMYFUNCTION("""COMPUTED_VALUE"""),40886.6666666666)</f>
        <v>40886.666666666599</v>
      </c>
      <c r="B312" s="4">
        <f ca="1">IFERROR(__xludf.DUMMYFUNCTION("""COMPUTED_VALUE"""),313.7)</f>
        <v>313.7</v>
      </c>
      <c r="C312" s="5">
        <f t="shared" ca="1" si="0"/>
        <v>1.8272399266313126E-2</v>
      </c>
    </row>
    <row r="313" spans="1:3" ht="13" x14ac:dyDescent="0.15">
      <c r="A313" s="3">
        <f ca="1">IFERROR(__xludf.DUMMYFUNCTION("""COMPUTED_VALUE"""),40889.6666666666)</f>
        <v>40889.666666666599</v>
      </c>
      <c r="B313" s="4">
        <f ca="1">IFERROR(__xludf.DUMMYFUNCTION("""COMPUTED_VALUE"""),312.69)</f>
        <v>312.69</v>
      </c>
      <c r="C313" s="5">
        <f t="shared" ca="1" si="0"/>
        <v>-3.2248307772917767E-3</v>
      </c>
    </row>
    <row r="314" spans="1:3" ht="13" x14ac:dyDescent="0.15">
      <c r="A314" s="3">
        <f ca="1">IFERROR(__xludf.DUMMYFUNCTION("""COMPUTED_VALUE"""),40890.6666666666)</f>
        <v>40890.666666666599</v>
      </c>
      <c r="B314" s="4">
        <f ca="1">IFERROR(__xludf.DUMMYFUNCTION("""COMPUTED_VALUE"""),312.81)</f>
        <v>312.81</v>
      </c>
      <c r="C314" s="5">
        <f t="shared" ca="1" si="0"/>
        <v>3.8369305027083936E-4</v>
      </c>
    </row>
    <row r="315" spans="1:3" ht="13" x14ac:dyDescent="0.15">
      <c r="A315" s="3">
        <f ca="1">IFERROR(__xludf.DUMMYFUNCTION("""COMPUTED_VALUE"""),40891.6666666666)</f>
        <v>40891.666666666599</v>
      </c>
      <c r="B315" s="4">
        <f ca="1">IFERROR(__xludf.DUMMYFUNCTION("""COMPUTED_VALUE"""),309.03)</f>
        <v>309.02999999999997</v>
      </c>
      <c r="C315" s="5">
        <f t="shared" ca="1" si="0"/>
        <v>-1.2157617905899819E-2</v>
      </c>
    </row>
    <row r="316" spans="1:3" ht="13" x14ac:dyDescent="0.15">
      <c r="A316" s="3">
        <f ca="1">IFERROR(__xludf.DUMMYFUNCTION("""COMPUTED_VALUE"""),40892.6666666666)</f>
        <v>40892.666666666599</v>
      </c>
      <c r="B316" s="4">
        <f ca="1">IFERROR(__xludf.DUMMYFUNCTION("""COMPUTED_VALUE"""),309.76)</f>
        <v>309.76</v>
      </c>
      <c r="C316" s="5">
        <f t="shared" ca="1" si="0"/>
        <v>2.3594445245006465E-3</v>
      </c>
    </row>
    <row r="317" spans="1:3" ht="13" x14ac:dyDescent="0.15">
      <c r="A317" s="3">
        <f ca="1">IFERROR(__xludf.DUMMYFUNCTION("""COMPUTED_VALUE"""),40893.6666666666)</f>
        <v>40893.666666666599</v>
      </c>
      <c r="B317" s="4">
        <f ca="1">IFERROR(__xludf.DUMMYFUNCTION("""COMPUTED_VALUE"""),312.98)</f>
        <v>312.98</v>
      </c>
      <c r="C317" s="5">
        <f t="shared" ca="1" si="0"/>
        <v>1.0341486646813716E-2</v>
      </c>
    </row>
    <row r="318" spans="1:3" ht="13" x14ac:dyDescent="0.15">
      <c r="A318" s="3">
        <f ca="1">IFERROR(__xludf.DUMMYFUNCTION("""COMPUTED_VALUE"""),40896.6666666666)</f>
        <v>40896.666666666599</v>
      </c>
      <c r="B318" s="4">
        <f ca="1">IFERROR(__xludf.DUMMYFUNCTION("""COMPUTED_VALUE"""),310.91)</f>
        <v>310.91000000000003</v>
      </c>
      <c r="C318" s="5">
        <f t="shared" ca="1" si="0"/>
        <v>-6.6358095044122233E-3</v>
      </c>
    </row>
    <row r="319" spans="1:3" ht="13" x14ac:dyDescent="0.15">
      <c r="A319" s="3">
        <f ca="1">IFERROR(__xludf.DUMMYFUNCTION("""COMPUTED_VALUE"""),40897.6666666666)</f>
        <v>40897.666666666599</v>
      </c>
      <c r="B319" s="4">
        <f ca="1">IFERROR(__xludf.DUMMYFUNCTION("""COMPUTED_VALUE"""),315.18)</f>
        <v>315.18</v>
      </c>
      <c r="C319" s="5">
        <f t="shared" ca="1" si="0"/>
        <v>1.364042296331138E-2</v>
      </c>
    </row>
    <row r="320" spans="1:3" ht="13" x14ac:dyDescent="0.15">
      <c r="A320" s="3">
        <f ca="1">IFERROR(__xludf.DUMMYFUNCTION("""COMPUTED_VALUE"""),40898.6666666666)</f>
        <v>40898.666666666599</v>
      </c>
      <c r="B320" s="4">
        <f ca="1">IFERROR(__xludf.DUMMYFUNCTION("""COMPUTED_VALUE"""),312.91)</f>
        <v>312.91000000000003</v>
      </c>
      <c r="C320" s="5">
        <f t="shared" ca="1" si="0"/>
        <v>-7.228294937407842E-3</v>
      </c>
    </row>
    <row r="321" spans="1:3" ht="13" x14ac:dyDescent="0.15">
      <c r="A321" s="3">
        <f ca="1">IFERROR(__xludf.DUMMYFUNCTION("""COMPUTED_VALUE"""),40899.6666666666)</f>
        <v>40899.666666666599</v>
      </c>
      <c r="B321" s="4">
        <f ca="1">IFERROR(__xludf.DUMMYFUNCTION("""COMPUTED_VALUE"""),314.85)</f>
        <v>314.85000000000002</v>
      </c>
      <c r="C321" s="5">
        <f t="shared" ca="1" si="0"/>
        <v>6.1807256782343781E-3</v>
      </c>
    </row>
    <row r="322" spans="1:3" ht="13" x14ac:dyDescent="0.15">
      <c r="A322" s="3">
        <f ca="1">IFERROR(__xludf.DUMMYFUNCTION("""COMPUTED_VALUE"""),40900.6666666666)</f>
        <v>40900.666666666599</v>
      </c>
      <c r="B322" s="4">
        <f ca="1">IFERROR(__xludf.DUMMYFUNCTION("""COMPUTED_VALUE"""),316.57)</f>
        <v>316.57</v>
      </c>
      <c r="C322" s="5">
        <f t="shared" ca="1" si="0"/>
        <v>5.4480512315482257E-3</v>
      </c>
    </row>
    <row r="323" spans="1:3" ht="13" x14ac:dyDescent="0.15">
      <c r="A323" s="3">
        <f ca="1">IFERROR(__xludf.DUMMYFUNCTION("""COMPUTED_VALUE"""),40904.6666666666)</f>
        <v>40904.666666666599</v>
      </c>
      <c r="B323" s="4">
        <f ca="1">IFERROR(__xludf.DUMMYFUNCTION("""COMPUTED_VALUE"""),320.12)</f>
        <v>320.12</v>
      </c>
      <c r="C323" s="5">
        <f t="shared" ca="1" si="0"/>
        <v>1.1151539332545415E-2</v>
      </c>
    </row>
    <row r="324" spans="1:3" ht="13" x14ac:dyDescent="0.15">
      <c r="A324" s="3">
        <f ca="1">IFERROR(__xludf.DUMMYFUNCTION("""COMPUTED_VALUE"""),40905.6666666666)</f>
        <v>40905.666666666599</v>
      </c>
      <c r="B324" s="4">
        <f ca="1">IFERROR(__xludf.DUMMYFUNCTION("""COMPUTED_VALUE"""),319.85)</f>
        <v>319.85000000000002</v>
      </c>
      <c r="C324" s="5">
        <f t="shared" ca="1" si="0"/>
        <v>-8.4378960269876064E-4</v>
      </c>
    </row>
    <row r="325" spans="1:3" ht="13" x14ac:dyDescent="0.15">
      <c r="A325" s="3">
        <f ca="1">IFERROR(__xludf.DUMMYFUNCTION("""COMPUTED_VALUE"""),40906.6666666666)</f>
        <v>40906.666666666599</v>
      </c>
      <c r="B325" s="4">
        <f ca="1">IFERROR(__xludf.DUMMYFUNCTION("""COMPUTED_VALUE"""),321.2)</f>
        <v>321.2</v>
      </c>
      <c r="C325" s="5">
        <f t="shared" ca="1" si="0"/>
        <v>4.2118461764599126E-3</v>
      </c>
    </row>
    <row r="326" spans="1:3" ht="13" x14ac:dyDescent="0.15">
      <c r="A326" s="3">
        <f ca="1">IFERROR(__xludf.DUMMYFUNCTION("""COMPUTED_VALUE"""),40907.6666666666)</f>
        <v>40907.666666666599</v>
      </c>
      <c r="B326" s="4">
        <f ca="1">IFERROR(__xludf.DUMMYFUNCTION("""COMPUTED_VALUE"""),322.95)</f>
        <v>322.95</v>
      </c>
      <c r="C326" s="5">
        <f t="shared" ca="1" si="0"/>
        <v>5.4335304058750868E-3</v>
      </c>
    </row>
    <row r="327" spans="1:3" ht="13" x14ac:dyDescent="0.15">
      <c r="A327" s="3">
        <f ca="1">IFERROR(__xludf.DUMMYFUNCTION("""COMPUTED_VALUE"""),40911.6666666666)</f>
        <v>40911.666666666599</v>
      </c>
      <c r="B327" s="4">
        <f ca="1">IFERROR(__xludf.DUMMYFUNCTION("""COMPUTED_VALUE"""),332.7)</f>
        <v>332.7</v>
      </c>
      <c r="C327" s="5">
        <f t="shared" ca="1" si="0"/>
        <v>2.9743670545949414E-2</v>
      </c>
    </row>
    <row r="328" spans="1:3" ht="13" x14ac:dyDescent="0.15">
      <c r="A328" s="3">
        <f ca="1">IFERROR(__xludf.DUMMYFUNCTION("""COMPUTED_VALUE"""),40912.6666666666)</f>
        <v>40912.666666666599</v>
      </c>
      <c r="B328" s="4">
        <f ca="1">IFERROR(__xludf.DUMMYFUNCTION("""COMPUTED_VALUE"""),334.14)</f>
        <v>334.14</v>
      </c>
      <c r="C328" s="5">
        <f t="shared" ca="1" si="0"/>
        <v>4.3188838052012945E-3</v>
      </c>
    </row>
    <row r="329" spans="1:3" ht="13" x14ac:dyDescent="0.15">
      <c r="A329" s="3">
        <f ca="1">IFERROR(__xludf.DUMMYFUNCTION("""COMPUTED_VALUE"""),40913.6666666666)</f>
        <v>40913.666666666599</v>
      </c>
      <c r="B329" s="4">
        <f ca="1">IFERROR(__xludf.DUMMYFUNCTION("""COMPUTED_VALUE"""),329.5)</f>
        <v>329.5</v>
      </c>
      <c r="C329" s="5">
        <f t="shared" ca="1" si="0"/>
        <v>-1.3983712887070324E-2</v>
      </c>
    </row>
    <row r="330" spans="1:3" ht="13" x14ac:dyDescent="0.15">
      <c r="A330" s="3">
        <f ca="1">IFERROR(__xludf.DUMMYFUNCTION("""COMPUTED_VALUE"""),40914.6666666666)</f>
        <v>40914.666666666599</v>
      </c>
      <c r="B330" s="4">
        <f ca="1">IFERROR(__xludf.DUMMYFUNCTION("""COMPUTED_VALUE"""),325.01)</f>
        <v>325.01</v>
      </c>
      <c r="C330" s="5">
        <f t="shared" ca="1" si="0"/>
        <v>-1.3720402855418245E-2</v>
      </c>
    </row>
    <row r="331" spans="1:3" ht="13" x14ac:dyDescent="0.15">
      <c r="A331" s="3">
        <f ca="1">IFERROR(__xludf.DUMMYFUNCTION("""COMPUTED_VALUE"""),40917.6666666666)</f>
        <v>40917.666666666599</v>
      </c>
      <c r="B331" s="4">
        <f ca="1">IFERROR(__xludf.DUMMYFUNCTION("""COMPUTED_VALUE"""),311.23)</f>
        <v>311.23</v>
      </c>
      <c r="C331" s="5">
        <f t="shared" ca="1" si="0"/>
        <v>-4.3323762400909883E-2</v>
      </c>
    </row>
    <row r="332" spans="1:3" ht="13" x14ac:dyDescent="0.15">
      <c r="A332" s="3">
        <f ca="1">IFERROR(__xludf.DUMMYFUNCTION("""COMPUTED_VALUE"""),40918.6666666666)</f>
        <v>40918.666666666599</v>
      </c>
      <c r="B332" s="4">
        <f ca="1">IFERROR(__xludf.DUMMYFUNCTION("""COMPUTED_VALUE"""),311.57)</f>
        <v>311.57</v>
      </c>
      <c r="C332" s="5">
        <f t="shared" ca="1" si="0"/>
        <v>1.0918433968424765E-3</v>
      </c>
    </row>
    <row r="333" spans="1:3" ht="13" x14ac:dyDescent="0.15">
      <c r="A333" s="3">
        <f ca="1">IFERROR(__xludf.DUMMYFUNCTION("""COMPUTED_VALUE"""),40919.6666666666)</f>
        <v>40919.666666666599</v>
      </c>
      <c r="B333" s="4">
        <f ca="1">IFERROR(__xludf.DUMMYFUNCTION("""COMPUTED_VALUE"""),312.98)</f>
        <v>312.98</v>
      </c>
      <c r="C333" s="5">
        <f t="shared" ca="1" si="0"/>
        <v>4.5152586519497558E-3</v>
      </c>
    </row>
    <row r="334" spans="1:3" ht="13" x14ac:dyDescent="0.15">
      <c r="A334" s="3">
        <f ca="1">IFERROR(__xludf.DUMMYFUNCTION("""COMPUTED_VALUE"""),40920.6666666666)</f>
        <v>40920.666666666599</v>
      </c>
      <c r="B334" s="4">
        <f ca="1">IFERROR(__xludf.DUMMYFUNCTION("""COMPUTED_VALUE"""),314.82)</f>
        <v>314.82</v>
      </c>
      <c r="C334" s="5">
        <f t="shared" ca="1" si="0"/>
        <v>5.8617561916494759E-3</v>
      </c>
    </row>
    <row r="335" spans="1:3" ht="13" x14ac:dyDescent="0.15">
      <c r="A335" s="3">
        <f ca="1">IFERROR(__xludf.DUMMYFUNCTION("""COMPUTED_VALUE"""),40921.6666666666)</f>
        <v>40921.666666666599</v>
      </c>
      <c r="B335" s="4">
        <f ca="1">IFERROR(__xludf.DUMMYFUNCTION("""COMPUTED_VALUE"""),312.49)</f>
        <v>312.49</v>
      </c>
      <c r="C335" s="5">
        <f t="shared" ca="1" si="0"/>
        <v>-7.4285782622300527E-3</v>
      </c>
    </row>
    <row r="336" spans="1:3" ht="13" x14ac:dyDescent="0.15">
      <c r="A336" s="3">
        <f ca="1">IFERROR(__xludf.DUMMYFUNCTION("""COMPUTED_VALUE"""),40925.6666666666)</f>
        <v>40925.666666666599</v>
      </c>
      <c r="B336" s="4">
        <f ca="1">IFERROR(__xludf.DUMMYFUNCTION("""COMPUTED_VALUE"""),314.29)</f>
        <v>314.29000000000002</v>
      </c>
      <c r="C336" s="5">
        <f t="shared" ca="1" si="0"/>
        <v>5.7436578973107553E-3</v>
      </c>
    </row>
    <row r="337" spans="1:3" ht="13" x14ac:dyDescent="0.15">
      <c r="A337" s="3">
        <f ca="1">IFERROR(__xludf.DUMMYFUNCTION("""COMPUTED_VALUE"""),40926.6666666666)</f>
        <v>40926.666666666599</v>
      </c>
      <c r="B337" s="4">
        <f ca="1">IFERROR(__xludf.DUMMYFUNCTION("""COMPUTED_VALUE"""),316.45)</f>
        <v>316.45</v>
      </c>
      <c r="C337" s="5">
        <f t="shared" ca="1" si="0"/>
        <v>6.8491246595583661E-3</v>
      </c>
    </row>
    <row r="338" spans="1:3" ht="13" x14ac:dyDescent="0.15">
      <c r="A338" s="3">
        <f ca="1">IFERROR(__xludf.DUMMYFUNCTION("""COMPUTED_VALUE"""),40927.6666666666)</f>
        <v>40927.666666666599</v>
      </c>
      <c r="B338" s="4">
        <f ca="1">IFERROR(__xludf.DUMMYFUNCTION("""COMPUTED_VALUE"""),319.78)</f>
        <v>319.77999999999997</v>
      </c>
      <c r="C338" s="5">
        <f t="shared" ca="1" si="0"/>
        <v>1.0468008135959949E-2</v>
      </c>
    </row>
    <row r="339" spans="1:3" ht="13" x14ac:dyDescent="0.15">
      <c r="A339" s="3">
        <f ca="1">IFERROR(__xludf.DUMMYFUNCTION("""COMPUTED_VALUE"""),40928.6666666666)</f>
        <v>40928.666666666599</v>
      </c>
      <c r="B339" s="4">
        <f ca="1">IFERROR(__xludf.DUMMYFUNCTION("""COMPUTED_VALUE"""),292.99)</f>
        <v>292.99</v>
      </c>
      <c r="C339" s="5">
        <f t="shared" ca="1" si="0"/>
        <v>-8.7494780615470835E-2</v>
      </c>
    </row>
    <row r="340" spans="1:3" ht="13" x14ac:dyDescent="0.15">
      <c r="A340" s="3">
        <f ca="1">IFERROR(__xludf.DUMMYFUNCTION("""COMPUTED_VALUE"""),40931.6666666666)</f>
        <v>40931.666666666599</v>
      </c>
      <c r="B340" s="4">
        <f ca="1">IFERROR(__xludf.DUMMYFUNCTION("""COMPUTED_VALUE"""),292.76)</f>
        <v>292.76</v>
      </c>
      <c r="C340" s="5">
        <f t="shared" ca="1" si="0"/>
        <v>-7.8531800877706828E-4</v>
      </c>
    </row>
    <row r="341" spans="1:3" ht="13" x14ac:dyDescent="0.15">
      <c r="A341" s="3">
        <f ca="1">IFERROR(__xludf.DUMMYFUNCTION("""COMPUTED_VALUE"""),40932.6666666666)</f>
        <v>40932.666666666599</v>
      </c>
      <c r="B341" s="4">
        <f ca="1">IFERROR(__xludf.DUMMYFUNCTION("""COMPUTED_VALUE"""),290.46)</f>
        <v>290.45999999999998</v>
      </c>
      <c r="C341" s="5">
        <f t="shared" ca="1" si="0"/>
        <v>-7.8872875533684619E-3</v>
      </c>
    </row>
    <row r="342" spans="1:3" ht="13" x14ac:dyDescent="0.15">
      <c r="A342" s="3">
        <f ca="1">IFERROR(__xludf.DUMMYFUNCTION("""COMPUTED_VALUE"""),40933.6666666666)</f>
        <v>40933.666666666599</v>
      </c>
      <c r="B342" s="4">
        <f ca="1">IFERROR(__xludf.DUMMYFUNCTION("""COMPUTED_VALUE"""),284.74)</f>
        <v>284.74</v>
      </c>
      <c r="C342" s="5">
        <f t="shared" ca="1" si="0"/>
        <v>-1.9889389994058187E-2</v>
      </c>
    </row>
    <row r="343" spans="1:3" ht="13" x14ac:dyDescent="0.15">
      <c r="A343" s="3">
        <f ca="1">IFERROR(__xludf.DUMMYFUNCTION("""COMPUTED_VALUE"""),40934.6666666666)</f>
        <v>40934.666666666599</v>
      </c>
      <c r="B343" s="4">
        <f ca="1">IFERROR(__xludf.DUMMYFUNCTION("""COMPUTED_VALUE"""),284.05)</f>
        <v>284.05</v>
      </c>
      <c r="C343" s="5">
        <f t="shared" ca="1" si="0"/>
        <v>-2.4262041824638257E-3</v>
      </c>
    </row>
    <row r="344" spans="1:3" ht="13" x14ac:dyDescent="0.15">
      <c r="A344" s="3">
        <f ca="1">IFERROR(__xludf.DUMMYFUNCTION("""COMPUTED_VALUE"""),40935.6666666666)</f>
        <v>40935.666666666599</v>
      </c>
      <c r="B344" s="4">
        <f ca="1">IFERROR(__xludf.DUMMYFUNCTION("""COMPUTED_VALUE"""),289.98)</f>
        <v>289.98</v>
      </c>
      <c r="C344" s="5">
        <f t="shared" ca="1" si="0"/>
        <v>2.0661676081911783E-2</v>
      </c>
    </row>
    <row r="345" spans="1:3" ht="13" x14ac:dyDescent="0.15">
      <c r="A345" s="3">
        <f ca="1">IFERROR(__xludf.DUMMYFUNCTION("""COMPUTED_VALUE"""),40938.6666666666)</f>
        <v>40938.666666666599</v>
      </c>
      <c r="B345" s="4">
        <f ca="1">IFERROR(__xludf.DUMMYFUNCTION("""COMPUTED_VALUE"""),288.84)</f>
        <v>288.83999999999997</v>
      </c>
      <c r="C345" s="5">
        <f t="shared" ca="1" si="0"/>
        <v>-3.9390535020669363E-3</v>
      </c>
    </row>
    <row r="346" spans="1:3" ht="13" x14ac:dyDescent="0.15">
      <c r="A346" s="3">
        <f ca="1">IFERROR(__xludf.DUMMYFUNCTION("""COMPUTED_VALUE"""),40939.6666666666)</f>
        <v>40939.666666666599</v>
      </c>
      <c r="B346" s="4">
        <f ca="1">IFERROR(__xludf.DUMMYFUNCTION("""COMPUTED_VALUE"""),290.05)</f>
        <v>290.05</v>
      </c>
      <c r="C346" s="5">
        <f t="shared" ca="1" si="0"/>
        <v>4.1804203290926444E-3</v>
      </c>
    </row>
    <row r="347" spans="1:3" ht="13" x14ac:dyDescent="0.15">
      <c r="A347" s="3">
        <f ca="1">IFERROR(__xludf.DUMMYFUNCTION("""COMPUTED_VALUE"""),40940.6666666666)</f>
        <v>40940.666666666599</v>
      </c>
      <c r="B347" s="4">
        <f ca="1">IFERROR(__xludf.DUMMYFUNCTION("""COMPUTED_VALUE"""),290.41)</f>
        <v>290.41000000000003</v>
      </c>
      <c r="C347" s="5">
        <f t="shared" ca="1" si="0"/>
        <v>1.2403957073957935E-3</v>
      </c>
    </row>
    <row r="348" spans="1:3" ht="13" x14ac:dyDescent="0.15">
      <c r="A348" s="3">
        <f ca="1">IFERROR(__xludf.DUMMYFUNCTION("""COMPUTED_VALUE"""),40941.6666666666)</f>
        <v>40941.666666666599</v>
      </c>
      <c r="B348" s="4">
        <f ca="1">IFERROR(__xludf.DUMMYFUNCTION("""COMPUTED_VALUE"""),292.55)</f>
        <v>292.55</v>
      </c>
      <c r="C348" s="5">
        <f t="shared" ca="1" si="0"/>
        <v>7.3418746147759888E-3</v>
      </c>
    </row>
    <row r="349" spans="1:3" ht="13" x14ac:dyDescent="0.15">
      <c r="A349" s="3">
        <f ca="1">IFERROR(__xludf.DUMMYFUNCTION("""COMPUTED_VALUE"""),40942.6666666666)</f>
        <v>40942.666666666599</v>
      </c>
      <c r="B349" s="4">
        <f ca="1">IFERROR(__xludf.DUMMYFUNCTION("""COMPUTED_VALUE"""),298.16)</f>
        <v>298.16000000000003</v>
      </c>
      <c r="C349" s="5">
        <f t="shared" ca="1" si="0"/>
        <v>1.8994662936757861E-2</v>
      </c>
    </row>
    <row r="350" spans="1:3" ht="13" x14ac:dyDescent="0.15">
      <c r="A350" s="3">
        <f ca="1">IFERROR(__xludf.DUMMYFUNCTION("""COMPUTED_VALUE"""),40945.6666666666)</f>
        <v>40945.666666666599</v>
      </c>
      <c r="B350" s="4">
        <f ca="1">IFERROR(__xludf.DUMMYFUNCTION("""COMPUTED_VALUE"""),304.54)</f>
        <v>304.54000000000002</v>
      </c>
      <c r="C350" s="5">
        <f t="shared" ca="1" si="0"/>
        <v>2.1172186241583343E-2</v>
      </c>
    </row>
    <row r="351" spans="1:3" ht="13" x14ac:dyDescent="0.15">
      <c r="A351" s="3">
        <f ca="1">IFERROR(__xludf.DUMMYFUNCTION("""COMPUTED_VALUE"""),40946.6666666666)</f>
        <v>40946.666666666599</v>
      </c>
      <c r="B351" s="4">
        <f ca="1">IFERROR(__xludf.DUMMYFUNCTION("""COMPUTED_VALUE"""),303.38)</f>
        <v>303.38</v>
      </c>
      <c r="C351" s="5">
        <f t="shared" ca="1" si="0"/>
        <v>-3.8162962490601343E-3</v>
      </c>
    </row>
    <row r="352" spans="1:3" ht="13" x14ac:dyDescent="0.15">
      <c r="A352" s="3">
        <f ca="1">IFERROR(__xludf.DUMMYFUNCTION("""COMPUTED_VALUE"""),40947.6666666666)</f>
        <v>40947.666666666599</v>
      </c>
      <c r="B352" s="4">
        <f ca="1">IFERROR(__xludf.DUMMYFUNCTION("""COMPUTED_VALUE"""),304.92)</f>
        <v>304.92</v>
      </c>
      <c r="C352" s="5">
        <f t="shared" ca="1" si="0"/>
        <v>5.0633019565468548E-3</v>
      </c>
    </row>
    <row r="353" spans="1:3" ht="13" x14ac:dyDescent="0.15">
      <c r="A353" s="3">
        <f ca="1">IFERROR(__xludf.DUMMYFUNCTION("""COMPUTED_VALUE"""),40948.6666666666)</f>
        <v>40948.666666666599</v>
      </c>
      <c r="B353" s="4">
        <f ca="1">IFERROR(__xludf.DUMMYFUNCTION("""COMPUTED_VALUE"""),305.73)</f>
        <v>305.73</v>
      </c>
      <c r="C353" s="5">
        <f t="shared" ca="1" si="0"/>
        <v>2.6529123886388888E-3</v>
      </c>
    </row>
    <row r="354" spans="1:3" ht="13" x14ac:dyDescent="0.15">
      <c r="A354" s="3">
        <f ca="1">IFERROR(__xludf.DUMMYFUNCTION("""COMPUTED_VALUE"""),40949.6666666666)</f>
        <v>40949.666666666599</v>
      </c>
      <c r="B354" s="4">
        <f ca="1">IFERROR(__xludf.DUMMYFUNCTION("""COMPUTED_VALUE"""),302.95)</f>
        <v>302.95</v>
      </c>
      <c r="C354" s="5">
        <f t="shared" ca="1" si="0"/>
        <v>-9.1345841177139179E-3</v>
      </c>
    </row>
    <row r="355" spans="1:3" ht="13" x14ac:dyDescent="0.15">
      <c r="A355" s="3">
        <f ca="1">IFERROR(__xludf.DUMMYFUNCTION("""COMPUTED_VALUE"""),40952.6666666666)</f>
        <v>40952.666666666599</v>
      </c>
      <c r="B355" s="4">
        <f ca="1">IFERROR(__xludf.DUMMYFUNCTION("""COMPUTED_VALUE"""),306.1)</f>
        <v>306.10000000000002</v>
      </c>
      <c r="C355" s="5">
        <f t="shared" ca="1" si="0"/>
        <v>1.0344070560368785E-2</v>
      </c>
    </row>
    <row r="356" spans="1:3" ht="13" x14ac:dyDescent="0.15">
      <c r="A356" s="3">
        <f ca="1">IFERROR(__xludf.DUMMYFUNCTION("""COMPUTED_VALUE"""),40953.6666666666)</f>
        <v>40953.666666666599</v>
      </c>
      <c r="B356" s="4">
        <f ca="1">IFERROR(__xludf.DUMMYFUNCTION("""COMPUTED_VALUE"""),304.88)</f>
        <v>304.88</v>
      </c>
      <c r="C356" s="5">
        <f t="shared" ca="1" si="0"/>
        <v>-3.9935893857621337E-3</v>
      </c>
    </row>
    <row r="357" spans="1:3" ht="13" x14ac:dyDescent="0.15">
      <c r="A357" s="3">
        <f ca="1">IFERROR(__xludf.DUMMYFUNCTION("""COMPUTED_VALUE"""),40954.6666666666)</f>
        <v>40954.666666666599</v>
      </c>
      <c r="B357" s="4">
        <f ca="1">IFERROR(__xludf.DUMMYFUNCTION("""COMPUTED_VALUE"""),302.77)</f>
        <v>302.77</v>
      </c>
      <c r="C357" s="5">
        <f t="shared" ca="1" si="0"/>
        <v>-6.944815207818489E-3</v>
      </c>
    </row>
    <row r="358" spans="1:3" ht="13" x14ac:dyDescent="0.15">
      <c r="A358" s="3">
        <f ca="1">IFERROR(__xludf.DUMMYFUNCTION("""COMPUTED_VALUE"""),40955.6666666666)</f>
        <v>40955.666666666599</v>
      </c>
      <c r="B358" s="4">
        <f ca="1">IFERROR(__xludf.DUMMYFUNCTION("""COMPUTED_VALUE"""),303.26)</f>
        <v>303.26</v>
      </c>
      <c r="C358" s="5">
        <f t="shared" ca="1" si="0"/>
        <v>1.6170820150068032E-3</v>
      </c>
    </row>
    <row r="359" spans="1:3" ht="13" x14ac:dyDescent="0.15">
      <c r="A359" s="3">
        <f ca="1">IFERROR(__xludf.DUMMYFUNCTION("""COMPUTED_VALUE"""),40956.6666666666)</f>
        <v>40956.666666666599</v>
      </c>
      <c r="B359" s="4">
        <f ca="1">IFERROR(__xludf.DUMMYFUNCTION("""COMPUTED_VALUE"""),302.32)</f>
        <v>302.32</v>
      </c>
      <c r="C359" s="5">
        <f t="shared" ca="1" si="0"/>
        <v>-3.1044643315596273E-3</v>
      </c>
    </row>
    <row r="360" spans="1:3" ht="13" x14ac:dyDescent="0.15">
      <c r="A360" s="3">
        <f ca="1">IFERROR(__xludf.DUMMYFUNCTION("""COMPUTED_VALUE"""),40960.6666666666)</f>
        <v>40960.666666666599</v>
      </c>
      <c r="B360" s="4">
        <f ca="1">IFERROR(__xludf.DUMMYFUNCTION("""COMPUTED_VALUE"""),307)</f>
        <v>307</v>
      </c>
      <c r="C360" s="5">
        <f t="shared" ca="1" si="0"/>
        <v>1.5361688545963589E-2</v>
      </c>
    </row>
    <row r="361" spans="1:3" ht="13" x14ac:dyDescent="0.15">
      <c r="A361" s="3">
        <f ca="1">IFERROR(__xludf.DUMMYFUNCTION("""COMPUTED_VALUE"""),40961.6666666666)</f>
        <v>40961.666666666599</v>
      </c>
      <c r="B361" s="4">
        <f ca="1">IFERROR(__xludf.DUMMYFUNCTION("""COMPUTED_VALUE"""),303.97)</f>
        <v>303.97000000000003</v>
      </c>
      <c r="C361" s="5">
        <f t="shared" ca="1" si="0"/>
        <v>-9.9187352611087576E-3</v>
      </c>
    </row>
    <row r="362" spans="1:3" ht="13" x14ac:dyDescent="0.15">
      <c r="A362" s="3">
        <f ca="1">IFERROR(__xludf.DUMMYFUNCTION("""COMPUTED_VALUE"""),40962.6666666666)</f>
        <v>40962.666666666599</v>
      </c>
      <c r="B362" s="4">
        <f ca="1">IFERROR(__xludf.DUMMYFUNCTION("""COMPUTED_VALUE"""),303.05)</f>
        <v>303.05</v>
      </c>
      <c r="C362" s="5">
        <f t="shared" ca="1" si="0"/>
        <v>-3.0312039287943298E-3</v>
      </c>
    </row>
    <row r="363" spans="1:3" ht="13" x14ac:dyDescent="0.15">
      <c r="A363" s="3">
        <f ca="1">IFERROR(__xludf.DUMMYFUNCTION("""COMPUTED_VALUE"""),40963.6666666666)</f>
        <v>40963.666666666599</v>
      </c>
      <c r="B363" s="4">
        <f ca="1">IFERROR(__xludf.DUMMYFUNCTION("""COMPUTED_VALUE"""),304.95)</f>
        <v>304.95</v>
      </c>
      <c r="C363" s="5">
        <f t="shared" ca="1" si="0"/>
        <v>6.2500203451713258E-3</v>
      </c>
    </row>
    <row r="364" spans="1:3" ht="13" x14ac:dyDescent="0.15">
      <c r="A364" s="3">
        <f ca="1">IFERROR(__xludf.DUMMYFUNCTION("""COMPUTED_VALUE"""),40966.6666666666)</f>
        <v>40966.666666666599</v>
      </c>
      <c r="B364" s="4">
        <f ca="1">IFERROR(__xludf.DUMMYFUNCTION("""COMPUTED_VALUE"""),304.65)</f>
        <v>304.64999999999998</v>
      </c>
      <c r="C364" s="5">
        <f t="shared" ca="1" si="0"/>
        <v>-9.8425204796203074E-4</v>
      </c>
    </row>
    <row r="365" spans="1:3" ht="13" x14ac:dyDescent="0.15">
      <c r="A365" s="3">
        <f ca="1">IFERROR(__xludf.DUMMYFUNCTION("""COMPUTED_VALUE"""),40967.6666666666)</f>
        <v>40967.666666666599</v>
      </c>
      <c r="B365" s="4">
        <f ca="1">IFERROR(__xludf.DUMMYFUNCTION("""COMPUTED_VALUE"""),309.19)</f>
        <v>309.19</v>
      </c>
      <c r="C365" s="5">
        <f t="shared" ca="1" si="0"/>
        <v>1.4792397969245013E-2</v>
      </c>
    </row>
    <row r="366" spans="1:3" ht="13" x14ac:dyDescent="0.15">
      <c r="A366" s="3">
        <f ca="1">IFERROR(__xludf.DUMMYFUNCTION("""COMPUTED_VALUE"""),40968.6666666666)</f>
        <v>40968.666666666599</v>
      </c>
      <c r="B366" s="4">
        <f ca="1">IFERROR(__xludf.DUMMYFUNCTION("""COMPUTED_VALUE"""),309.12)</f>
        <v>309.12</v>
      </c>
      <c r="C366" s="5">
        <f t="shared" ca="1" si="0"/>
        <v>-2.2642363959521724E-4</v>
      </c>
    </row>
    <row r="367" spans="1:3" ht="13" x14ac:dyDescent="0.15">
      <c r="A367" s="3">
        <f ca="1">IFERROR(__xludf.DUMMYFUNCTION("""COMPUTED_VALUE"""),40969.6666666666)</f>
        <v>40969.666666666599</v>
      </c>
      <c r="B367" s="4">
        <f ca="1">IFERROR(__xludf.DUMMYFUNCTION("""COMPUTED_VALUE"""),311.2)</f>
        <v>311.2</v>
      </c>
      <c r="C367" s="5">
        <f t="shared" ca="1" si="0"/>
        <v>6.706241280083328E-3</v>
      </c>
    </row>
    <row r="368" spans="1:3" ht="13" x14ac:dyDescent="0.15">
      <c r="A368" s="3">
        <f ca="1">IFERROR(__xludf.DUMMYFUNCTION("""COMPUTED_VALUE"""),40970.6666666666)</f>
        <v>40970.666666666599</v>
      </c>
      <c r="B368" s="4">
        <f ca="1">IFERROR(__xludf.DUMMYFUNCTION("""COMPUTED_VALUE"""),310.62)</f>
        <v>310.62</v>
      </c>
      <c r="C368" s="5">
        <f t="shared" ca="1" si="0"/>
        <v>-1.8654921623714555E-3</v>
      </c>
    </row>
    <row r="369" spans="1:3" ht="13" x14ac:dyDescent="0.15">
      <c r="A369" s="3">
        <f ca="1">IFERROR(__xludf.DUMMYFUNCTION("""COMPUTED_VALUE"""),40973.6666666666)</f>
        <v>40973.666666666599</v>
      </c>
      <c r="B369" s="4">
        <f ca="1">IFERROR(__xludf.DUMMYFUNCTION("""COMPUTED_VALUE"""),307.12)</f>
        <v>307.12</v>
      </c>
      <c r="C369" s="5">
        <f t="shared" ca="1" si="0"/>
        <v>-1.1331749449322711E-2</v>
      </c>
    </row>
    <row r="370" spans="1:3" ht="13" x14ac:dyDescent="0.15">
      <c r="A370" s="3">
        <f ca="1">IFERROR(__xludf.DUMMYFUNCTION("""COMPUTED_VALUE"""),40974.6666666666)</f>
        <v>40974.666666666599</v>
      </c>
      <c r="B370" s="4">
        <f ca="1">IFERROR(__xludf.DUMMYFUNCTION("""COMPUTED_VALUE"""),302.48)</f>
        <v>302.48</v>
      </c>
      <c r="C370" s="5">
        <f t="shared" ca="1" si="0"/>
        <v>-1.5223391109864832E-2</v>
      </c>
    </row>
    <row r="371" spans="1:3" ht="13" x14ac:dyDescent="0.15">
      <c r="A371" s="3">
        <f ca="1">IFERROR(__xludf.DUMMYFUNCTION("""COMPUTED_VALUE"""),40975.6666666666)</f>
        <v>40975.666666666599</v>
      </c>
      <c r="B371" s="4">
        <f ca="1">IFERROR(__xludf.DUMMYFUNCTION("""COMPUTED_VALUE"""),303.39)</f>
        <v>303.39</v>
      </c>
      <c r="C371" s="5">
        <f t="shared" ca="1" si="0"/>
        <v>3.0039469995112602E-3</v>
      </c>
    </row>
    <row r="372" spans="1:3" ht="13" x14ac:dyDescent="0.15">
      <c r="A372" s="3">
        <f ca="1">IFERROR(__xludf.DUMMYFUNCTION("""COMPUTED_VALUE"""),40976.6666666666)</f>
        <v>40976.666666666599</v>
      </c>
      <c r="B372" s="4">
        <f ca="1">IFERROR(__xludf.DUMMYFUNCTION("""COMPUTED_VALUE"""),303.57)</f>
        <v>303.57</v>
      </c>
      <c r="C372" s="5">
        <f t="shared" ca="1" si="0"/>
        <v>5.931198275895065E-4</v>
      </c>
    </row>
    <row r="373" spans="1:3" ht="13" x14ac:dyDescent="0.15">
      <c r="A373" s="3">
        <f ca="1">IFERROR(__xludf.DUMMYFUNCTION("""COMPUTED_VALUE"""),40977.6666666666)</f>
        <v>40977.666666666599</v>
      </c>
      <c r="B373" s="4">
        <f ca="1">IFERROR(__xludf.DUMMYFUNCTION("""COMPUTED_VALUE"""),300.12)</f>
        <v>300.12</v>
      </c>
      <c r="C373" s="5">
        <f t="shared" ca="1" si="0"/>
        <v>-1.1429831732250184E-2</v>
      </c>
    </row>
    <row r="374" spans="1:3" ht="13" x14ac:dyDescent="0.15">
      <c r="A374" s="3">
        <f ca="1">IFERROR(__xludf.DUMMYFUNCTION("""COMPUTED_VALUE"""),40980.6666666666)</f>
        <v>40980.666666666599</v>
      </c>
      <c r="B374" s="4">
        <f ca="1">IFERROR(__xludf.DUMMYFUNCTION("""COMPUTED_VALUE"""),302.57)</f>
        <v>302.57</v>
      </c>
      <c r="C374" s="5">
        <f t="shared" ca="1" si="0"/>
        <v>8.1302609820481479E-3</v>
      </c>
    </row>
    <row r="375" spans="1:3" ht="13" x14ac:dyDescent="0.15">
      <c r="A375" s="3">
        <f ca="1">IFERROR(__xludf.DUMMYFUNCTION("""COMPUTED_VALUE"""),40981.6666666666)</f>
        <v>40981.666666666599</v>
      </c>
      <c r="B375" s="4">
        <f ca="1">IFERROR(__xludf.DUMMYFUNCTION("""COMPUTED_VALUE"""),308.89)</f>
        <v>308.89</v>
      </c>
      <c r="C375" s="5">
        <f t="shared" ca="1" si="0"/>
        <v>2.0672570804719667E-2</v>
      </c>
    </row>
    <row r="376" spans="1:3" ht="13" x14ac:dyDescent="0.15">
      <c r="A376" s="3">
        <f ca="1">IFERROR(__xludf.DUMMYFUNCTION("""COMPUTED_VALUE"""),40982.6666666666)</f>
        <v>40982.666666666599</v>
      </c>
      <c r="B376" s="4">
        <f ca="1">IFERROR(__xludf.DUMMYFUNCTION("""COMPUTED_VALUE"""),307.99)</f>
        <v>307.99</v>
      </c>
      <c r="C376" s="5">
        <f t="shared" ca="1" si="0"/>
        <v>-2.917911550270639E-3</v>
      </c>
    </row>
    <row r="377" spans="1:3" ht="13" x14ac:dyDescent="0.15">
      <c r="A377" s="3">
        <f ca="1">IFERROR(__xludf.DUMMYFUNCTION("""COMPUTED_VALUE"""),40983.6666666666)</f>
        <v>40983.666666666599</v>
      </c>
      <c r="B377" s="4">
        <f ca="1">IFERROR(__xludf.DUMMYFUNCTION("""COMPUTED_VALUE"""),310.56)</f>
        <v>310.56</v>
      </c>
      <c r="C377" s="5">
        <f t="shared" ca="1" si="0"/>
        <v>8.3098045066749993E-3</v>
      </c>
    </row>
    <row r="378" spans="1:3" ht="13" x14ac:dyDescent="0.15">
      <c r="A378" s="3">
        <f ca="1">IFERROR(__xludf.DUMMYFUNCTION("""COMPUTED_VALUE"""),40984.6666666666)</f>
        <v>40984.666666666599</v>
      </c>
      <c r="B378" s="4">
        <f ca="1">IFERROR(__xludf.DUMMYFUNCTION("""COMPUTED_VALUE"""),312.51)</f>
        <v>312.51</v>
      </c>
      <c r="C378" s="5">
        <f t="shared" ca="1" si="0"/>
        <v>6.2593492437669155E-3</v>
      </c>
    </row>
    <row r="379" spans="1:3" ht="13" x14ac:dyDescent="0.15">
      <c r="A379" s="3">
        <f ca="1">IFERROR(__xludf.DUMMYFUNCTION("""COMPUTED_VALUE"""),40987.6666666666)</f>
        <v>40987.666666666599</v>
      </c>
      <c r="B379" s="4">
        <f ca="1">IFERROR(__xludf.DUMMYFUNCTION("""COMPUTED_VALUE"""),316.98)</f>
        <v>316.98</v>
      </c>
      <c r="C379" s="5">
        <f t="shared" ca="1" si="0"/>
        <v>1.42022117398124E-2</v>
      </c>
    </row>
    <row r="380" spans="1:3" ht="13" x14ac:dyDescent="0.15">
      <c r="A380" s="3">
        <f ca="1">IFERROR(__xludf.DUMMYFUNCTION("""COMPUTED_VALUE"""),40988.6666666666)</f>
        <v>40988.666666666599</v>
      </c>
      <c r="B380" s="4">
        <f ca="1">IFERROR(__xludf.DUMMYFUNCTION("""COMPUTED_VALUE"""),316.74)</f>
        <v>316.74</v>
      </c>
      <c r="C380" s="5">
        <f t="shared" ca="1" si="0"/>
        <v>-7.5743234069963652E-4</v>
      </c>
    </row>
    <row r="381" spans="1:3" ht="13" x14ac:dyDescent="0.15">
      <c r="A381" s="3">
        <f ca="1">IFERROR(__xludf.DUMMYFUNCTION("""COMPUTED_VALUE"""),40989.6666666666)</f>
        <v>40989.666666666599</v>
      </c>
      <c r="B381" s="4">
        <f ca="1">IFERROR(__xludf.DUMMYFUNCTION("""COMPUTED_VALUE"""),319.98)</f>
        <v>319.98</v>
      </c>
      <c r="C381" s="5">
        <f t="shared" ca="1" si="0"/>
        <v>1.0177245776985953E-2</v>
      </c>
    </row>
    <row r="382" spans="1:3" ht="13" x14ac:dyDescent="0.15">
      <c r="A382" s="3">
        <f ca="1">IFERROR(__xludf.DUMMYFUNCTION("""COMPUTED_VALUE"""),40990.6666666666)</f>
        <v>40990.666666666599</v>
      </c>
      <c r="B382" s="4">
        <f ca="1">IFERROR(__xludf.DUMMYFUNCTION("""COMPUTED_VALUE"""),323.02)</f>
        <v>323.02</v>
      </c>
      <c r="C382" s="5">
        <f t="shared" ca="1" si="0"/>
        <v>9.4557469698011102E-3</v>
      </c>
    </row>
    <row r="383" spans="1:3" ht="13" x14ac:dyDescent="0.15">
      <c r="A383" s="3">
        <f ca="1">IFERROR(__xludf.DUMMYFUNCTION("""COMPUTED_VALUE"""),40991.6666666666)</f>
        <v>40991.666666666599</v>
      </c>
      <c r="B383" s="4">
        <f ca="1">IFERROR(__xludf.DUMMYFUNCTION("""COMPUTED_VALUE"""),321.29)</f>
        <v>321.29000000000002</v>
      </c>
      <c r="C383" s="5">
        <f t="shared" ca="1" si="0"/>
        <v>-5.3700987334375835E-3</v>
      </c>
    </row>
    <row r="384" spans="1:3" ht="13" x14ac:dyDescent="0.15">
      <c r="A384" s="3">
        <f ca="1">IFERROR(__xludf.DUMMYFUNCTION("""COMPUTED_VALUE"""),40994.6666666666)</f>
        <v>40994.666666666599</v>
      </c>
      <c r="B384" s="4">
        <f ca="1">IFERROR(__xludf.DUMMYFUNCTION("""COMPUTED_VALUE"""),324.66)</f>
        <v>324.66000000000003</v>
      </c>
      <c r="C384" s="5">
        <f t="shared" ca="1" si="0"/>
        <v>1.0434338805769518E-2</v>
      </c>
    </row>
    <row r="385" spans="1:3" ht="13" x14ac:dyDescent="0.15">
      <c r="A385" s="3">
        <f ca="1">IFERROR(__xludf.DUMMYFUNCTION("""COMPUTED_VALUE"""),40995.6666666666)</f>
        <v>40995.666666666599</v>
      </c>
      <c r="B385" s="4">
        <f ca="1">IFERROR(__xludf.DUMMYFUNCTION("""COMPUTED_VALUE"""),323.51)</f>
        <v>323.51</v>
      </c>
      <c r="C385" s="5">
        <f t="shared" ca="1" si="0"/>
        <v>-3.5484555184247491E-3</v>
      </c>
    </row>
    <row r="386" spans="1:3" ht="13" x14ac:dyDescent="0.15">
      <c r="A386" s="3">
        <f ca="1">IFERROR(__xludf.DUMMYFUNCTION("""COMPUTED_VALUE"""),40996.6666666666)</f>
        <v>40996.666666666599</v>
      </c>
      <c r="B386" s="4">
        <f ca="1">IFERROR(__xludf.DUMMYFUNCTION("""COMPUTED_VALUE"""),327.88)</f>
        <v>327.88</v>
      </c>
      <c r="C386" s="5">
        <f t="shared" ca="1" si="0"/>
        <v>1.3417662420555608E-2</v>
      </c>
    </row>
    <row r="387" spans="1:3" ht="13" x14ac:dyDescent="0.15">
      <c r="A387" s="3">
        <f ca="1">IFERROR(__xludf.DUMMYFUNCTION("""COMPUTED_VALUE"""),40997.6666666666)</f>
        <v>40997.666666666599</v>
      </c>
      <c r="B387" s="4">
        <f ca="1">IFERROR(__xludf.DUMMYFUNCTION("""COMPUTED_VALUE"""),324.2)</f>
        <v>324.2</v>
      </c>
      <c r="C387" s="5">
        <f t="shared" ca="1" si="0"/>
        <v>-1.1287078483254167E-2</v>
      </c>
    </row>
    <row r="388" spans="1:3" ht="13" x14ac:dyDescent="0.15">
      <c r="A388" s="3">
        <f ca="1">IFERROR(__xludf.DUMMYFUNCTION("""COMPUTED_VALUE"""),40998.6666666666)</f>
        <v>40998.666666666599</v>
      </c>
      <c r="B388" s="4">
        <f ca="1">IFERROR(__xludf.DUMMYFUNCTION("""COMPUTED_VALUE"""),320.62)</f>
        <v>320.62</v>
      </c>
      <c r="C388" s="5">
        <f t="shared" ca="1" si="0"/>
        <v>-1.1103988040048215E-2</v>
      </c>
    </row>
    <row r="389" spans="1:3" ht="13" x14ac:dyDescent="0.15">
      <c r="A389" s="3">
        <f ca="1">IFERROR(__xludf.DUMMYFUNCTION("""COMPUTED_VALUE"""),41001.6666666666)</f>
        <v>41001.666666666599</v>
      </c>
      <c r="B389" s="4">
        <f ca="1">IFERROR(__xludf.DUMMYFUNCTION("""COMPUTED_VALUE"""),323.45)</f>
        <v>323.45</v>
      </c>
      <c r="C389" s="5">
        <f t="shared" ca="1" si="0"/>
        <v>8.7879212284667704E-3</v>
      </c>
    </row>
    <row r="390" spans="1:3" ht="13" x14ac:dyDescent="0.15">
      <c r="A390" s="3">
        <f ca="1">IFERROR(__xludf.DUMMYFUNCTION("""COMPUTED_VALUE"""),41002.6666666666)</f>
        <v>41002.666666666599</v>
      </c>
      <c r="B390" s="4">
        <f ca="1">IFERROR(__xludf.DUMMYFUNCTION("""COMPUTED_VALUE"""),321.31)</f>
        <v>321.31</v>
      </c>
      <c r="C390" s="5">
        <f t="shared" ca="1" si="0"/>
        <v>-6.6381532919742962E-3</v>
      </c>
    </row>
    <row r="391" spans="1:3" ht="13" x14ac:dyDescent="0.15">
      <c r="A391" s="3">
        <f ca="1">IFERROR(__xludf.DUMMYFUNCTION("""COMPUTED_VALUE"""),41003.6666666666)</f>
        <v>41003.666666666599</v>
      </c>
      <c r="B391" s="4">
        <f ca="1">IFERROR(__xludf.DUMMYFUNCTION("""COMPUTED_VALUE"""),317.57)</f>
        <v>317.57</v>
      </c>
      <c r="C391" s="5">
        <f t="shared" ca="1" si="0"/>
        <v>-1.1708122724805913E-2</v>
      </c>
    </row>
    <row r="392" spans="1:3" ht="13" x14ac:dyDescent="0.15">
      <c r="A392" s="3">
        <f ca="1">IFERROR(__xludf.DUMMYFUNCTION("""COMPUTED_VALUE"""),41004.6666666666)</f>
        <v>41004.666666666599</v>
      </c>
      <c r="B392" s="4">
        <f ca="1">IFERROR(__xludf.DUMMYFUNCTION("""COMPUTED_VALUE"""),316.16)</f>
        <v>316.16000000000003</v>
      </c>
      <c r="C392" s="5">
        <f t="shared" ca="1" si="0"/>
        <v>-4.4498519137112086E-3</v>
      </c>
    </row>
    <row r="393" spans="1:3" ht="13" x14ac:dyDescent="0.15">
      <c r="A393" s="3">
        <f ca="1">IFERROR(__xludf.DUMMYFUNCTION("""COMPUTED_VALUE"""),41008.6666666666)</f>
        <v>41008.666666666599</v>
      </c>
      <c r="B393" s="4">
        <f ca="1">IFERROR(__xludf.DUMMYFUNCTION("""COMPUTED_VALUE"""),315.42)</f>
        <v>315.42</v>
      </c>
      <c r="C393" s="5">
        <f t="shared" ca="1" si="0"/>
        <v>-2.3433305000913358E-3</v>
      </c>
    </row>
    <row r="394" spans="1:3" ht="13" x14ac:dyDescent="0.15">
      <c r="A394" s="3">
        <f ca="1">IFERROR(__xludf.DUMMYFUNCTION("""COMPUTED_VALUE"""),41009.6666666666)</f>
        <v>41009.666666666599</v>
      </c>
      <c r="B394" s="4">
        <f ca="1">IFERROR(__xludf.DUMMYFUNCTION("""COMPUTED_VALUE"""),313.43)</f>
        <v>313.43</v>
      </c>
      <c r="C394" s="5">
        <f t="shared" ca="1" si="0"/>
        <v>-6.329034404795284E-3</v>
      </c>
    </row>
    <row r="395" spans="1:3" ht="13" x14ac:dyDescent="0.15">
      <c r="A395" s="3">
        <f ca="1">IFERROR(__xludf.DUMMYFUNCTION("""COMPUTED_VALUE"""),41010.6666666666)</f>
        <v>41010.666666666599</v>
      </c>
      <c r="B395" s="4">
        <f ca="1">IFERROR(__xludf.DUMMYFUNCTION("""COMPUTED_VALUE"""),317.98)</f>
        <v>317.98</v>
      </c>
      <c r="C395" s="5">
        <f t="shared" ca="1" si="0"/>
        <v>1.4412438065946744E-2</v>
      </c>
    </row>
    <row r="396" spans="1:3" ht="13" x14ac:dyDescent="0.15">
      <c r="A396" s="3">
        <f ca="1">IFERROR(__xludf.DUMMYFUNCTION("""COMPUTED_VALUE"""),41011.6666666666)</f>
        <v>41011.666666666599</v>
      </c>
      <c r="B396" s="4">
        <f ca="1">IFERROR(__xludf.DUMMYFUNCTION("""COMPUTED_VALUE"""),325.5)</f>
        <v>325.5</v>
      </c>
      <c r="C396" s="5">
        <f t="shared" ca="1" si="0"/>
        <v>2.3373973928060805E-2</v>
      </c>
    </row>
    <row r="397" spans="1:3" ht="13" x14ac:dyDescent="0.15">
      <c r="A397" s="3">
        <f ca="1">IFERROR(__xludf.DUMMYFUNCTION("""COMPUTED_VALUE"""),41012.6666666666)</f>
        <v>41012.666666666599</v>
      </c>
      <c r="B397" s="4">
        <f ca="1">IFERROR(__xludf.DUMMYFUNCTION("""COMPUTED_VALUE"""),312.3)</f>
        <v>312.3</v>
      </c>
      <c r="C397" s="5">
        <f t="shared" ca="1" si="0"/>
        <v>-4.1398197359590952E-2</v>
      </c>
    </row>
    <row r="398" spans="1:3" ht="13" x14ac:dyDescent="0.15">
      <c r="A398" s="3">
        <f ca="1">IFERROR(__xludf.DUMMYFUNCTION("""COMPUTED_VALUE"""),41015.6666666666)</f>
        <v>41015.666666666599</v>
      </c>
      <c r="B398" s="4">
        <f ca="1">IFERROR(__xludf.DUMMYFUNCTION("""COMPUTED_VALUE"""),303.03)</f>
        <v>303.02999999999997</v>
      </c>
      <c r="C398" s="5">
        <f t="shared" ca="1" si="0"/>
        <v>-3.0132453779830471E-2</v>
      </c>
    </row>
    <row r="399" spans="1:3" ht="13" x14ac:dyDescent="0.15">
      <c r="A399" s="3">
        <f ca="1">IFERROR(__xludf.DUMMYFUNCTION("""COMPUTED_VALUE"""),41016.6666666666)</f>
        <v>41016.666666666599</v>
      </c>
      <c r="B399" s="4">
        <f ca="1">IFERROR(__xludf.DUMMYFUNCTION("""COMPUTED_VALUE"""),304.78)</f>
        <v>304.77999999999997</v>
      </c>
      <c r="C399" s="5">
        <f t="shared" ca="1" si="0"/>
        <v>5.7583943525120812E-3</v>
      </c>
    </row>
    <row r="400" spans="1:3" ht="13" x14ac:dyDescent="0.15">
      <c r="A400" s="3">
        <f ca="1">IFERROR(__xludf.DUMMYFUNCTION("""COMPUTED_VALUE"""),41017.6666666666)</f>
        <v>41017.666666666599</v>
      </c>
      <c r="B400" s="4">
        <f ca="1">IFERROR(__xludf.DUMMYFUNCTION("""COMPUTED_VALUE"""),303.72)</f>
        <v>303.72000000000003</v>
      </c>
      <c r="C400" s="5">
        <f t="shared" ca="1" si="0"/>
        <v>-3.48398051668146E-3</v>
      </c>
    </row>
    <row r="401" spans="1:3" ht="13" x14ac:dyDescent="0.15">
      <c r="A401" s="3">
        <f ca="1">IFERROR(__xludf.DUMMYFUNCTION("""COMPUTED_VALUE"""),41018.6666666666)</f>
        <v>41018.666666666599</v>
      </c>
      <c r="B401" s="4">
        <f ca="1">IFERROR(__xludf.DUMMYFUNCTION("""COMPUTED_VALUE"""),299.64)</f>
        <v>299.64</v>
      </c>
      <c r="C401" s="5">
        <f t="shared" ca="1" si="0"/>
        <v>-1.3524470265351021E-2</v>
      </c>
    </row>
    <row r="402" spans="1:3" ht="13" x14ac:dyDescent="0.15">
      <c r="A402" s="3">
        <f ca="1">IFERROR(__xludf.DUMMYFUNCTION("""COMPUTED_VALUE"""),41019.6666666666)</f>
        <v>41019.666666666599</v>
      </c>
      <c r="B402" s="4">
        <f ca="1">IFERROR(__xludf.DUMMYFUNCTION("""COMPUTED_VALUE"""),298.02)</f>
        <v>298.02</v>
      </c>
      <c r="C402" s="5">
        <f t="shared" ca="1" si="0"/>
        <v>-5.4211557323680833E-3</v>
      </c>
    </row>
    <row r="403" spans="1:3" ht="13" x14ac:dyDescent="0.15">
      <c r="A403" s="3">
        <f ca="1">IFERROR(__xludf.DUMMYFUNCTION("""COMPUTED_VALUE"""),41022.6666666666)</f>
        <v>41022.666666666599</v>
      </c>
      <c r="B403" s="4">
        <f ca="1">IFERROR(__xludf.DUMMYFUNCTION("""COMPUTED_VALUE"""),298.8)</f>
        <v>298.8</v>
      </c>
      <c r="C403" s="5">
        <f t="shared" ca="1" si="0"/>
        <v>2.6138549113483085E-3</v>
      </c>
    </row>
    <row r="404" spans="1:3" ht="13" x14ac:dyDescent="0.15">
      <c r="A404" s="3">
        <f ca="1">IFERROR(__xludf.DUMMYFUNCTION("""COMPUTED_VALUE"""),41023.6666666666)</f>
        <v>41023.666666666599</v>
      </c>
      <c r="B404" s="4">
        <f ca="1">IFERROR(__xludf.DUMMYFUNCTION("""COMPUTED_VALUE"""),300.63)</f>
        <v>300.63</v>
      </c>
      <c r="C404" s="5">
        <f t="shared" ca="1" si="0"/>
        <v>6.1058194796849785E-3</v>
      </c>
    </row>
    <row r="405" spans="1:3" ht="13" x14ac:dyDescent="0.15">
      <c r="A405" s="3">
        <f ca="1">IFERROR(__xludf.DUMMYFUNCTION("""COMPUTED_VALUE"""),41024.6666666666)</f>
        <v>41024.666666666599</v>
      </c>
      <c r="B405" s="4">
        <f ca="1">IFERROR(__xludf.DUMMYFUNCTION("""COMPUTED_VALUE"""),304.85)</f>
        <v>304.85000000000002</v>
      </c>
      <c r="C405" s="5">
        <f t="shared" ca="1" si="0"/>
        <v>1.3939579615477924E-2</v>
      </c>
    </row>
    <row r="406" spans="1:3" ht="13" x14ac:dyDescent="0.15">
      <c r="A406" s="3">
        <f ca="1">IFERROR(__xludf.DUMMYFUNCTION("""COMPUTED_VALUE"""),41025.6666666666)</f>
        <v>41025.666666666599</v>
      </c>
      <c r="B406" s="4">
        <f ca="1">IFERROR(__xludf.DUMMYFUNCTION("""COMPUTED_VALUE"""),307.73)</f>
        <v>307.73</v>
      </c>
      <c r="C406" s="5">
        <f t="shared" ca="1" si="0"/>
        <v>9.4029227841535452E-3</v>
      </c>
    </row>
    <row r="407" spans="1:3" ht="13" x14ac:dyDescent="0.15">
      <c r="A407" s="3">
        <f ca="1">IFERROR(__xludf.DUMMYFUNCTION("""COMPUTED_VALUE"""),41026.6666666666)</f>
        <v>41026.666666666599</v>
      </c>
      <c r="B407" s="4">
        <f ca="1">IFERROR(__xludf.DUMMYFUNCTION("""COMPUTED_VALUE"""),307.48)</f>
        <v>307.48</v>
      </c>
      <c r="C407" s="5">
        <f t="shared" ca="1" si="0"/>
        <v>-8.127306570474245E-4</v>
      </c>
    </row>
    <row r="408" spans="1:3" ht="13" x14ac:dyDescent="0.15">
      <c r="A408" s="3">
        <f ca="1">IFERROR(__xludf.DUMMYFUNCTION("""COMPUTED_VALUE"""),41029.6666666666)</f>
        <v>41029.666666666599</v>
      </c>
      <c r="B408" s="4">
        <f ca="1">IFERROR(__xludf.DUMMYFUNCTION("""COMPUTED_VALUE"""),302.42)</f>
        <v>302.42</v>
      </c>
      <c r="C408" s="5">
        <f t="shared" ca="1" si="0"/>
        <v>-1.6593264796408092E-2</v>
      </c>
    </row>
    <row r="409" spans="1:3" ht="13" x14ac:dyDescent="0.15">
      <c r="A409" s="3">
        <f ca="1">IFERROR(__xludf.DUMMYFUNCTION("""COMPUTED_VALUE"""),41030.6666666666)</f>
        <v>41030.666666666599</v>
      </c>
      <c r="B409" s="4">
        <f ca="1">IFERROR(__xludf.DUMMYFUNCTION("""COMPUTED_VALUE"""),302.21)</f>
        <v>302.20999999999998</v>
      </c>
      <c r="C409" s="5">
        <f t="shared" ca="1" si="0"/>
        <v>-6.9463972493663453E-4</v>
      </c>
    </row>
    <row r="410" spans="1:3" ht="13" x14ac:dyDescent="0.15">
      <c r="A410" s="3">
        <f ca="1">IFERROR(__xludf.DUMMYFUNCTION("""COMPUTED_VALUE"""),41031.6666666666)</f>
        <v>41031.666666666599</v>
      </c>
      <c r="B410" s="4">
        <f ca="1">IFERROR(__xludf.DUMMYFUNCTION("""COMPUTED_VALUE"""),303.63)</f>
        <v>303.63</v>
      </c>
      <c r="C410" s="5">
        <f t="shared" ca="1" si="0"/>
        <v>4.687714909333042E-3</v>
      </c>
    </row>
    <row r="411" spans="1:3" ht="13" x14ac:dyDescent="0.15">
      <c r="A411" s="3">
        <f ca="1">IFERROR(__xludf.DUMMYFUNCTION("""COMPUTED_VALUE"""),41032.6666666666)</f>
        <v>41032.666666666599</v>
      </c>
      <c r="B411" s="4">
        <f ca="1">IFERROR(__xludf.DUMMYFUNCTION("""COMPUTED_VALUE"""),305.51)</f>
        <v>305.51</v>
      </c>
      <c r="C411" s="5">
        <f t="shared" ca="1" si="0"/>
        <v>6.1726564312326836E-3</v>
      </c>
    </row>
    <row r="412" spans="1:3" ht="13" x14ac:dyDescent="0.15">
      <c r="A412" s="3">
        <f ca="1">IFERROR(__xludf.DUMMYFUNCTION("""COMPUTED_VALUE"""),41033.6666666666)</f>
        <v>41033.666666666599</v>
      </c>
      <c r="B412" s="4">
        <f ca="1">IFERROR(__xludf.DUMMYFUNCTION("""COMPUTED_VALUE"""),298.48)</f>
        <v>298.48</v>
      </c>
      <c r="C412" s="5">
        <f t="shared" ca="1" si="0"/>
        <v>-2.3279582387249861E-2</v>
      </c>
    </row>
    <row r="413" spans="1:3" ht="13" x14ac:dyDescent="0.15">
      <c r="A413" s="3">
        <f ca="1">IFERROR(__xludf.DUMMYFUNCTION("""COMPUTED_VALUE"""),41036.6666666666)</f>
        <v>41036.666666666599</v>
      </c>
      <c r="B413" s="4">
        <f ca="1">IFERROR(__xludf.DUMMYFUNCTION("""COMPUTED_VALUE"""),303.77)</f>
        <v>303.77</v>
      </c>
      <c r="C413" s="5">
        <f t="shared" ca="1" si="0"/>
        <v>1.7567907195658872E-2</v>
      </c>
    </row>
    <row r="414" spans="1:3" ht="13" x14ac:dyDescent="0.15">
      <c r="A414" s="3">
        <f ca="1">IFERROR(__xludf.DUMMYFUNCTION("""COMPUTED_VALUE"""),41037.6666666666)</f>
        <v>41037.666666666599</v>
      </c>
      <c r="B414" s="4">
        <f ca="1">IFERROR(__xludf.DUMMYFUNCTION("""COMPUTED_VALUE"""),306.39)</f>
        <v>306.39</v>
      </c>
      <c r="C414" s="5">
        <f t="shared" ca="1" si="0"/>
        <v>8.5879641495559753E-3</v>
      </c>
    </row>
    <row r="415" spans="1:3" ht="13" x14ac:dyDescent="0.15">
      <c r="A415" s="3">
        <f ca="1">IFERROR(__xludf.DUMMYFUNCTION("""COMPUTED_VALUE"""),41038.6666666666)</f>
        <v>41038.666666666599</v>
      </c>
      <c r="B415" s="4">
        <f ca="1">IFERROR(__xludf.DUMMYFUNCTION("""COMPUTED_VALUE"""),304.57)</f>
        <v>304.57</v>
      </c>
      <c r="C415" s="5">
        <f t="shared" ca="1" si="0"/>
        <v>-5.9578544702151908E-3</v>
      </c>
    </row>
    <row r="416" spans="1:3" ht="13" x14ac:dyDescent="0.15">
      <c r="A416" s="3">
        <f ca="1">IFERROR(__xludf.DUMMYFUNCTION("""COMPUTED_VALUE"""),41039.6666666666)</f>
        <v>41039.666666666599</v>
      </c>
      <c r="B416" s="4">
        <f ca="1">IFERROR(__xludf.DUMMYFUNCTION("""COMPUTED_VALUE"""),306.82)</f>
        <v>306.82</v>
      </c>
      <c r="C416" s="5">
        <f t="shared" ca="1" si="0"/>
        <v>7.3603106287253991E-3</v>
      </c>
    </row>
    <row r="417" spans="1:3" ht="13" x14ac:dyDescent="0.15">
      <c r="A417" s="3">
        <f ca="1">IFERROR(__xludf.DUMMYFUNCTION("""COMPUTED_VALUE"""),41040.6666666666)</f>
        <v>41040.666666666599</v>
      </c>
      <c r="B417" s="4">
        <f ca="1">IFERROR(__xludf.DUMMYFUNCTION("""COMPUTED_VALUE"""),302.61)</f>
        <v>302.61</v>
      </c>
      <c r="C417" s="5">
        <f t="shared" ca="1" si="0"/>
        <v>-1.3816408681773581E-2</v>
      </c>
    </row>
    <row r="418" spans="1:3" ht="13" x14ac:dyDescent="0.15">
      <c r="A418" s="3">
        <f ca="1">IFERROR(__xludf.DUMMYFUNCTION("""COMPUTED_VALUE"""),41043.6666666666)</f>
        <v>41043.666666666599</v>
      </c>
      <c r="B418" s="4">
        <f ca="1">IFERROR(__xludf.DUMMYFUNCTION("""COMPUTED_VALUE"""),302)</f>
        <v>302</v>
      </c>
      <c r="C418" s="5">
        <f t="shared" ca="1" si="0"/>
        <v>-2.0178303599841536E-3</v>
      </c>
    </row>
    <row r="419" spans="1:3" ht="13" x14ac:dyDescent="0.15">
      <c r="A419" s="3">
        <f ca="1">IFERROR(__xludf.DUMMYFUNCTION("""COMPUTED_VALUE"""),41044.6666666666)</f>
        <v>41044.666666666599</v>
      </c>
      <c r="B419" s="4">
        <f ca="1">IFERROR(__xludf.DUMMYFUNCTION("""COMPUTED_VALUE"""),305.55)</f>
        <v>305.55</v>
      </c>
      <c r="C419" s="5">
        <f t="shared" ca="1" si="0"/>
        <v>1.1686413966054944E-2</v>
      </c>
    </row>
    <row r="420" spans="1:3" ht="13" x14ac:dyDescent="0.15">
      <c r="A420" s="3">
        <f ca="1">IFERROR(__xludf.DUMMYFUNCTION("""COMPUTED_VALUE"""),41045.6666666666)</f>
        <v>41045.666666666599</v>
      </c>
      <c r="B420" s="4">
        <f ca="1">IFERROR(__xludf.DUMMYFUNCTION("""COMPUTED_VALUE"""),314.46)</f>
        <v>314.45999999999998</v>
      </c>
      <c r="C420" s="5">
        <f t="shared" ca="1" si="0"/>
        <v>2.8743450701205271E-2</v>
      </c>
    </row>
    <row r="421" spans="1:3" ht="13" x14ac:dyDescent="0.15">
      <c r="A421" s="3">
        <f ca="1">IFERROR(__xludf.DUMMYFUNCTION("""COMPUTED_VALUE"""),41046.6666666666)</f>
        <v>41046.666666666599</v>
      </c>
      <c r="B421" s="4">
        <f ca="1">IFERROR(__xludf.DUMMYFUNCTION("""COMPUTED_VALUE"""),311.52)</f>
        <v>311.52</v>
      </c>
      <c r="C421" s="5">
        <f t="shared" ca="1" si="0"/>
        <v>-9.393340418240366E-3</v>
      </c>
    </row>
    <row r="422" spans="1:3" ht="13" x14ac:dyDescent="0.15">
      <c r="A422" s="3">
        <f ca="1">IFERROR(__xludf.DUMMYFUNCTION("""COMPUTED_VALUE"""),41047.6666666666)</f>
        <v>41047.666666666599</v>
      </c>
      <c r="B422" s="4">
        <f ca="1">IFERROR(__xludf.DUMMYFUNCTION("""COMPUTED_VALUE"""),300.2)</f>
        <v>300.2</v>
      </c>
      <c r="C422" s="5">
        <f t="shared" ca="1" si="0"/>
        <v>-3.7014622424527903E-2</v>
      </c>
    </row>
    <row r="423" spans="1:3" ht="13" x14ac:dyDescent="0.15">
      <c r="A423" s="3">
        <f ca="1">IFERROR(__xludf.DUMMYFUNCTION("""COMPUTED_VALUE"""),41050.6666666666)</f>
        <v>41050.666666666599</v>
      </c>
      <c r="B423" s="4">
        <f ca="1">IFERROR(__xludf.DUMMYFUNCTION("""COMPUTED_VALUE"""),307.05)</f>
        <v>307.05</v>
      </c>
      <c r="C423" s="5">
        <f t="shared" ca="1" si="0"/>
        <v>2.2561681576046801E-2</v>
      </c>
    </row>
    <row r="424" spans="1:3" ht="13" x14ac:dyDescent="0.15">
      <c r="A424" s="3">
        <f ca="1">IFERROR(__xludf.DUMMYFUNCTION("""COMPUTED_VALUE"""),41051.6666666666)</f>
        <v>41051.666666666599</v>
      </c>
      <c r="B424" s="4">
        <f ca="1">IFERROR(__xludf.DUMMYFUNCTION("""COMPUTED_VALUE"""),300.39)</f>
        <v>300.39</v>
      </c>
      <c r="C424" s="5">
        <f t="shared" ca="1" si="0"/>
        <v>-2.1928970387587218E-2</v>
      </c>
    </row>
    <row r="425" spans="1:3" ht="13" x14ac:dyDescent="0.15">
      <c r="A425" s="3">
        <f ca="1">IFERROR(__xludf.DUMMYFUNCTION("""COMPUTED_VALUE"""),41052.6666666666)</f>
        <v>41052.666666666599</v>
      </c>
      <c r="B425" s="4">
        <f ca="1">IFERROR(__xludf.DUMMYFUNCTION("""COMPUTED_VALUE"""),304.73)</f>
        <v>304.73</v>
      </c>
      <c r="C425" s="5">
        <f t="shared" ca="1" si="0"/>
        <v>1.4344508256400339E-2</v>
      </c>
    </row>
    <row r="426" spans="1:3" ht="13" x14ac:dyDescent="0.15">
      <c r="A426" s="3">
        <f ca="1">IFERROR(__xludf.DUMMYFUNCTION("""COMPUTED_VALUE"""),41053.6666666666)</f>
        <v>41053.666666666599</v>
      </c>
      <c r="B426" s="4">
        <f ca="1">IFERROR(__xludf.DUMMYFUNCTION("""COMPUTED_VALUE"""),301.82)</f>
        <v>301.82</v>
      </c>
      <c r="C426" s="5">
        <f t="shared" ca="1" si="0"/>
        <v>-9.595325453817069E-3</v>
      </c>
    </row>
    <row r="427" spans="1:3" ht="13" x14ac:dyDescent="0.15">
      <c r="A427" s="3">
        <f ca="1">IFERROR(__xludf.DUMMYFUNCTION("""COMPUTED_VALUE"""),41054.6666666666)</f>
        <v>41054.666666666599</v>
      </c>
      <c r="B427" s="4">
        <f ca="1">IFERROR(__xludf.DUMMYFUNCTION("""COMPUTED_VALUE"""),295.76)</f>
        <v>295.76</v>
      </c>
      <c r="C427" s="5">
        <f t="shared" ca="1" si="0"/>
        <v>-2.0282498562027941E-2</v>
      </c>
    </row>
    <row r="428" spans="1:3" ht="13" x14ac:dyDescent="0.15">
      <c r="A428" s="3">
        <f ca="1">IFERROR(__xludf.DUMMYFUNCTION("""COMPUTED_VALUE"""),41058.6666666666)</f>
        <v>41058.666666666599</v>
      </c>
      <c r="B428" s="4">
        <f ca="1">IFERROR(__xludf.DUMMYFUNCTION("""COMPUTED_VALUE"""),297.17)</f>
        <v>297.17</v>
      </c>
      <c r="C428" s="5">
        <f t="shared" ca="1" si="0"/>
        <v>4.7560509937141478E-3</v>
      </c>
    </row>
    <row r="429" spans="1:3" ht="13" x14ac:dyDescent="0.15">
      <c r="A429" s="3">
        <f ca="1">IFERROR(__xludf.DUMMYFUNCTION("""COMPUTED_VALUE"""),41059.6666666666)</f>
        <v>41059.666666666599</v>
      </c>
      <c r="B429" s="4">
        <f ca="1">IFERROR(__xludf.DUMMYFUNCTION("""COMPUTED_VALUE"""),294.11)</f>
        <v>294.11</v>
      </c>
      <c r="C429" s="5">
        <f t="shared" ca="1" si="0"/>
        <v>-1.0350518600075163E-2</v>
      </c>
    </row>
    <row r="430" spans="1:3" ht="13" x14ac:dyDescent="0.15">
      <c r="A430" s="3">
        <f ca="1">IFERROR(__xludf.DUMMYFUNCTION("""COMPUTED_VALUE"""),41060.6666666666)</f>
        <v>41060.666666666599</v>
      </c>
      <c r="B430" s="4">
        <f ca="1">IFERROR(__xludf.DUMMYFUNCTION("""COMPUTED_VALUE"""),290.43)</f>
        <v>290.43</v>
      </c>
      <c r="C430" s="5">
        <f t="shared" ca="1" si="0"/>
        <v>-1.2591263621925634E-2</v>
      </c>
    </row>
    <row r="431" spans="1:3" ht="13" x14ac:dyDescent="0.15">
      <c r="A431" s="3">
        <f ca="1">IFERROR(__xludf.DUMMYFUNCTION("""COMPUTED_VALUE"""),41061.6666666666)</f>
        <v>41061.666666666599</v>
      </c>
      <c r="B431" s="4">
        <f ca="1">IFERROR(__xludf.DUMMYFUNCTION("""COMPUTED_VALUE"""),285.48)</f>
        <v>285.48</v>
      </c>
      <c r="C431" s="5">
        <f t="shared" ca="1" si="0"/>
        <v>-1.7190609297223169E-2</v>
      </c>
    </row>
    <row r="432" spans="1:3" ht="13" x14ac:dyDescent="0.15">
      <c r="A432" s="3">
        <f ca="1">IFERROR(__xludf.DUMMYFUNCTION("""COMPUTED_VALUE"""),41064.6666666666)</f>
        <v>41064.666666666599</v>
      </c>
      <c r="B432" s="4">
        <f ca="1">IFERROR(__xludf.DUMMYFUNCTION("""COMPUTED_VALUE"""),289.29)</f>
        <v>289.29000000000002</v>
      </c>
      <c r="C432" s="5">
        <f t="shared" ca="1" si="0"/>
        <v>1.3257671087536182E-2</v>
      </c>
    </row>
    <row r="433" spans="1:3" ht="13" x14ac:dyDescent="0.15">
      <c r="A433" s="3">
        <f ca="1">IFERROR(__xludf.DUMMYFUNCTION("""COMPUTED_VALUE"""),41065.6666666666)</f>
        <v>41065.666666666599</v>
      </c>
      <c r="B433" s="4">
        <f ca="1">IFERROR(__xludf.DUMMYFUNCTION("""COMPUTED_VALUE"""),285.2)</f>
        <v>285.2</v>
      </c>
      <c r="C433" s="5">
        <f t="shared" ca="1" si="0"/>
        <v>-1.4238956650261952E-2</v>
      </c>
    </row>
    <row r="434" spans="1:3" ht="13" x14ac:dyDescent="0.15">
      <c r="A434" s="3">
        <f ca="1">IFERROR(__xludf.DUMMYFUNCTION("""COMPUTED_VALUE"""),41066.6666666666)</f>
        <v>41066.666666666599</v>
      </c>
      <c r="B434" s="4">
        <f ca="1">IFERROR(__xludf.DUMMYFUNCTION("""COMPUTED_VALUE"""),290.28)</f>
        <v>290.27999999999997</v>
      </c>
      <c r="C434" s="5">
        <f t="shared" ca="1" si="0"/>
        <v>1.7655285869795343E-2</v>
      </c>
    </row>
    <row r="435" spans="1:3" ht="13" x14ac:dyDescent="0.15">
      <c r="A435" s="3">
        <f ca="1">IFERROR(__xludf.DUMMYFUNCTION("""COMPUTED_VALUE"""),41067.6666666666)</f>
        <v>41067.666666666599</v>
      </c>
      <c r="B435" s="4">
        <f ca="1">IFERROR(__xludf.DUMMYFUNCTION("""COMPUTED_VALUE"""),289.11)</f>
        <v>289.11</v>
      </c>
      <c r="C435" s="5">
        <f t="shared" ca="1" si="0"/>
        <v>-4.0387358786303021E-3</v>
      </c>
    </row>
    <row r="436" spans="1:3" ht="13" x14ac:dyDescent="0.15">
      <c r="A436" s="3">
        <f ca="1">IFERROR(__xludf.DUMMYFUNCTION("""COMPUTED_VALUE"""),41068.6666666666)</f>
        <v>41068.666666666599</v>
      </c>
      <c r="B436" s="4">
        <f ca="1">IFERROR(__xludf.DUMMYFUNCTION("""COMPUTED_VALUE"""),290.22)</f>
        <v>290.22000000000003</v>
      </c>
      <c r="C436" s="5">
        <f t="shared" ca="1" si="0"/>
        <v>3.8320175316412025E-3</v>
      </c>
    </row>
    <row r="437" spans="1:3" ht="13" x14ac:dyDescent="0.15">
      <c r="A437" s="3">
        <f ca="1">IFERROR(__xludf.DUMMYFUNCTION("""COMPUTED_VALUE"""),41071.6666666666)</f>
        <v>41071.666666666599</v>
      </c>
      <c r="B437" s="4">
        <f ca="1">IFERROR(__xludf.DUMMYFUNCTION("""COMPUTED_VALUE"""),284.25)</f>
        <v>284.25</v>
      </c>
      <c r="C437" s="5">
        <f t="shared" ca="1" si="0"/>
        <v>-2.0785123432301492E-2</v>
      </c>
    </row>
    <row r="438" spans="1:3" ht="13" x14ac:dyDescent="0.15">
      <c r="A438" s="3">
        <f ca="1">IFERROR(__xludf.DUMMYFUNCTION("""COMPUTED_VALUE"""),41072.6666666666)</f>
        <v>41072.666666666599</v>
      </c>
      <c r="B438" s="4">
        <f ca="1">IFERROR(__xludf.DUMMYFUNCTION("""COMPUTED_VALUE"""),282.55)</f>
        <v>282.55</v>
      </c>
      <c r="C438" s="5">
        <f t="shared" ca="1" si="0"/>
        <v>-5.9986065547929937E-3</v>
      </c>
    </row>
    <row r="439" spans="1:3" ht="13" x14ac:dyDescent="0.15">
      <c r="A439" s="3">
        <f ca="1">IFERROR(__xludf.DUMMYFUNCTION("""COMPUTED_VALUE"""),41073.6666666666)</f>
        <v>41073.666666666599</v>
      </c>
      <c r="B439" s="4">
        <f ca="1">IFERROR(__xludf.DUMMYFUNCTION("""COMPUTED_VALUE"""),280.54)</f>
        <v>280.54000000000002</v>
      </c>
      <c r="C439" s="5">
        <f t="shared" ca="1" si="0"/>
        <v>-7.1392087843269777E-3</v>
      </c>
    </row>
    <row r="440" spans="1:3" ht="13" x14ac:dyDescent="0.15">
      <c r="A440" s="3">
        <f ca="1">IFERROR(__xludf.DUMMYFUNCTION("""COMPUTED_VALUE"""),41074.6666666666)</f>
        <v>41074.666666666599</v>
      </c>
      <c r="B440" s="4">
        <f ca="1">IFERROR(__xludf.DUMMYFUNCTION("""COMPUTED_VALUE"""),279.52)</f>
        <v>279.52</v>
      </c>
      <c r="C440" s="5">
        <f t="shared" ca="1" si="0"/>
        <v>-3.6424709057790903E-3</v>
      </c>
    </row>
    <row r="441" spans="1:3" ht="13" x14ac:dyDescent="0.15">
      <c r="A441" s="3">
        <f ca="1">IFERROR(__xludf.DUMMYFUNCTION("""COMPUTED_VALUE"""),41075.6666666666)</f>
        <v>41075.666666666599</v>
      </c>
      <c r="B441" s="4">
        <f ca="1">IFERROR(__xludf.DUMMYFUNCTION("""COMPUTED_VALUE"""),282.25)</f>
        <v>282.25</v>
      </c>
      <c r="C441" s="5">
        <f t="shared" ca="1" si="0"/>
        <v>9.7193566440250956E-3</v>
      </c>
    </row>
    <row r="442" spans="1:3" ht="13" x14ac:dyDescent="0.15">
      <c r="A442" s="3">
        <f ca="1">IFERROR(__xludf.DUMMYFUNCTION("""COMPUTED_VALUE"""),41078.6666666666)</f>
        <v>41078.666666666599</v>
      </c>
      <c r="B442" s="4">
        <f ca="1">IFERROR(__xludf.DUMMYFUNCTION("""COMPUTED_VALUE"""),285.42)</f>
        <v>285.42</v>
      </c>
      <c r="C442" s="5">
        <f t="shared" ca="1" si="0"/>
        <v>1.116857664247386E-2</v>
      </c>
    </row>
    <row r="443" spans="1:3" ht="13" x14ac:dyDescent="0.15">
      <c r="A443" s="3">
        <f ca="1">IFERROR(__xludf.DUMMYFUNCTION("""COMPUTED_VALUE"""),41079.6666666666)</f>
        <v>41079.666666666599</v>
      </c>
      <c r="B443" s="4">
        <f ca="1">IFERROR(__xludf.DUMMYFUNCTION("""COMPUTED_VALUE"""),290.76)</f>
        <v>290.76</v>
      </c>
      <c r="C443" s="5">
        <f t="shared" ca="1" si="0"/>
        <v>1.8536404944189549E-2</v>
      </c>
    </row>
    <row r="444" spans="1:3" ht="13" x14ac:dyDescent="0.15">
      <c r="A444" s="3">
        <f ca="1">IFERROR(__xludf.DUMMYFUNCTION("""COMPUTED_VALUE"""),41080.6666666666)</f>
        <v>41080.666666666599</v>
      </c>
      <c r="B444" s="4">
        <f ca="1">IFERROR(__xludf.DUMMYFUNCTION("""COMPUTED_VALUE"""),288.75)</f>
        <v>288.75</v>
      </c>
      <c r="C444" s="5">
        <f t="shared" ca="1" si="0"/>
        <v>-6.9369227804313904E-3</v>
      </c>
    </row>
    <row r="445" spans="1:3" ht="13" x14ac:dyDescent="0.15">
      <c r="A445" s="3">
        <f ca="1">IFERROR(__xludf.DUMMYFUNCTION("""COMPUTED_VALUE"""),41081.6666666666)</f>
        <v>41081.666666666599</v>
      </c>
      <c r="B445" s="4">
        <f ca="1">IFERROR(__xludf.DUMMYFUNCTION("""COMPUTED_VALUE"""),282.6)</f>
        <v>282.60000000000002</v>
      </c>
      <c r="C445" s="5">
        <f t="shared" ca="1" si="0"/>
        <v>-2.1528791585576194E-2</v>
      </c>
    </row>
    <row r="446" spans="1:3" ht="13" x14ac:dyDescent="0.15">
      <c r="A446" s="3">
        <f ca="1">IFERROR(__xludf.DUMMYFUNCTION("""COMPUTED_VALUE"""),41082.6666666666)</f>
        <v>41082.666666666599</v>
      </c>
      <c r="B446" s="4">
        <f ca="1">IFERROR(__xludf.DUMMYFUNCTION("""COMPUTED_VALUE"""),285.73)</f>
        <v>285.73</v>
      </c>
      <c r="C446" s="5">
        <f t="shared" ca="1" si="0"/>
        <v>1.1014838723897425E-2</v>
      </c>
    </row>
    <row r="447" spans="1:3" ht="13" x14ac:dyDescent="0.15">
      <c r="A447" s="3">
        <f ca="1">IFERROR(__xludf.DUMMYFUNCTION("""COMPUTED_VALUE"""),41085.6666666666)</f>
        <v>41085.666666666599</v>
      </c>
      <c r="B447" s="4">
        <f ca="1">IFERROR(__xludf.DUMMYFUNCTION("""COMPUTED_VALUE"""),280.35)</f>
        <v>280.35000000000002</v>
      </c>
      <c r="C447" s="5">
        <f t="shared" ca="1" si="0"/>
        <v>-1.9008486404642946E-2</v>
      </c>
    </row>
    <row r="448" spans="1:3" ht="13" x14ac:dyDescent="0.15">
      <c r="A448" s="3">
        <f ca="1">IFERROR(__xludf.DUMMYFUNCTION("""COMPUTED_VALUE"""),41086.6666666666)</f>
        <v>41086.666666666599</v>
      </c>
      <c r="B448" s="4">
        <f ca="1">IFERROR(__xludf.DUMMYFUNCTION("""COMPUTED_VALUE"""),282.33)</f>
        <v>282.33</v>
      </c>
      <c r="C448" s="5">
        <f t="shared" ca="1" si="0"/>
        <v>7.0377769691245791E-3</v>
      </c>
    </row>
    <row r="449" spans="1:3" ht="13" x14ac:dyDescent="0.15">
      <c r="A449" s="3">
        <f ca="1">IFERROR(__xludf.DUMMYFUNCTION("""COMPUTED_VALUE"""),41087.6666666666)</f>
        <v>41087.666666666599</v>
      </c>
      <c r="B449" s="4">
        <f ca="1">IFERROR(__xludf.DUMMYFUNCTION("""COMPUTED_VALUE"""),284.64)</f>
        <v>284.64</v>
      </c>
      <c r="C449" s="5">
        <f t="shared" ca="1" si="0"/>
        <v>8.1486243787188776E-3</v>
      </c>
    </row>
    <row r="450" spans="1:3" ht="13" x14ac:dyDescent="0.15">
      <c r="A450" s="3">
        <f ca="1">IFERROR(__xludf.DUMMYFUNCTION("""COMPUTED_VALUE"""),41088.6666666666)</f>
        <v>41088.666666666599</v>
      </c>
      <c r="B450" s="4">
        <f ca="1">IFERROR(__xludf.DUMMYFUNCTION("""COMPUTED_VALUE"""),282.15)</f>
        <v>282.14999999999998</v>
      </c>
      <c r="C450" s="5">
        <f t="shared" ca="1" si="0"/>
        <v>-8.7863795023759555E-3</v>
      </c>
    </row>
    <row r="451" spans="1:3" ht="13" x14ac:dyDescent="0.15">
      <c r="A451" s="3">
        <f ca="1">IFERROR(__xludf.DUMMYFUNCTION("""COMPUTED_VALUE"""),41089.6666666666)</f>
        <v>41089.666666666599</v>
      </c>
      <c r="B451" s="4">
        <f ca="1">IFERROR(__xludf.DUMMYFUNCTION("""COMPUTED_VALUE"""),290.03)</f>
        <v>290.02999999999997</v>
      </c>
      <c r="C451" s="5">
        <f t="shared" ca="1" si="0"/>
        <v>2.7545521490828749E-2</v>
      </c>
    </row>
    <row r="452" spans="1:3" ht="13" x14ac:dyDescent="0.15">
      <c r="A452" s="3">
        <f ca="1">IFERROR(__xludf.DUMMYFUNCTION("""COMPUTED_VALUE"""),41092.6666666666)</f>
        <v>41092.666666666599</v>
      </c>
      <c r="B452" s="4">
        <f ca="1">IFERROR(__xludf.DUMMYFUNCTION("""COMPUTED_VALUE"""),290.23)</f>
        <v>290.23</v>
      </c>
      <c r="C452" s="5">
        <f t="shared" ca="1" si="0"/>
        <v>6.8934618247007938E-4</v>
      </c>
    </row>
    <row r="453" spans="1:3" ht="13" x14ac:dyDescent="0.15">
      <c r="A453" s="3">
        <f ca="1">IFERROR(__xludf.DUMMYFUNCTION("""COMPUTED_VALUE"""),41093.6666666666)</f>
        <v>41093.666666666599</v>
      </c>
      <c r="B453" s="4">
        <f ca="1">IFERROR(__xludf.DUMMYFUNCTION("""COMPUTED_VALUE"""),293.91)</f>
        <v>293.91000000000003</v>
      </c>
      <c r="C453" s="5">
        <f t="shared" ca="1" si="0"/>
        <v>1.2599885936212881E-2</v>
      </c>
    </row>
    <row r="454" spans="1:3" ht="13" x14ac:dyDescent="0.15">
      <c r="A454" s="3">
        <f ca="1">IFERROR(__xludf.DUMMYFUNCTION("""COMPUTED_VALUE"""),41095.6666666666)</f>
        <v>41095.666666666599</v>
      </c>
      <c r="B454" s="4">
        <f ca="1">IFERROR(__xludf.DUMMYFUNCTION("""COMPUTED_VALUE"""),297.95)</f>
        <v>297.95</v>
      </c>
      <c r="C454" s="5">
        <f t="shared" ca="1" si="0"/>
        <v>1.3652089168327263E-2</v>
      </c>
    </row>
    <row r="455" spans="1:3" ht="13" x14ac:dyDescent="0.15">
      <c r="A455" s="3">
        <f ca="1">IFERROR(__xludf.DUMMYFUNCTION("""COMPUTED_VALUE"""),41096.6666666666)</f>
        <v>41096.666666666599</v>
      </c>
      <c r="B455" s="4">
        <f ca="1">IFERROR(__xludf.DUMMYFUNCTION("""COMPUTED_VALUE"""),292.98)</f>
        <v>292.98</v>
      </c>
      <c r="C455" s="5">
        <f t="shared" ca="1" si="0"/>
        <v>-1.6821339891363918E-2</v>
      </c>
    </row>
    <row r="456" spans="1:3" ht="13" x14ac:dyDescent="0.15">
      <c r="A456" s="3">
        <f ca="1">IFERROR(__xludf.DUMMYFUNCTION("""COMPUTED_VALUE"""),41099.6666666666)</f>
        <v>41099.666666666599</v>
      </c>
      <c r="B456" s="4">
        <f ca="1">IFERROR(__xludf.DUMMYFUNCTION("""COMPUTED_VALUE"""),293)</f>
        <v>293</v>
      </c>
      <c r="C456" s="5">
        <f t="shared" ca="1" si="0"/>
        <v>6.8261715443426252E-5</v>
      </c>
    </row>
    <row r="457" spans="1:3" ht="13" x14ac:dyDescent="0.15">
      <c r="A457" s="3">
        <f ca="1">IFERROR(__xludf.DUMMYFUNCTION("""COMPUTED_VALUE"""),41100.6666666666)</f>
        <v>41100.666666666599</v>
      </c>
      <c r="B457" s="4">
        <f ca="1">IFERROR(__xludf.DUMMYFUNCTION("""COMPUTED_VALUE"""),290.85)</f>
        <v>290.85000000000002</v>
      </c>
      <c r="C457" s="5">
        <f t="shared" ca="1" si="0"/>
        <v>-7.3649386602967675E-3</v>
      </c>
    </row>
    <row r="458" spans="1:3" ht="13" x14ac:dyDescent="0.15">
      <c r="A458" s="3">
        <f ca="1">IFERROR(__xludf.DUMMYFUNCTION("""COMPUTED_VALUE"""),41101.6666666666)</f>
        <v>41101.666666666599</v>
      </c>
      <c r="B458" s="4">
        <f ca="1">IFERROR(__xludf.DUMMYFUNCTION("""COMPUTED_VALUE"""),285.59)</f>
        <v>285.58999999999997</v>
      </c>
      <c r="C458" s="5">
        <f t="shared" ca="1" si="0"/>
        <v>-1.8250454509948246E-2</v>
      </c>
    </row>
    <row r="459" spans="1:3" ht="13" x14ac:dyDescent="0.15">
      <c r="A459" s="3">
        <f ca="1">IFERROR(__xludf.DUMMYFUNCTION("""COMPUTED_VALUE"""),41102.6666666666)</f>
        <v>41102.666666666599</v>
      </c>
      <c r="B459" s="4">
        <f ca="1">IFERROR(__xludf.DUMMYFUNCTION("""COMPUTED_VALUE"""),285.23)</f>
        <v>285.23</v>
      </c>
      <c r="C459" s="5">
        <f t="shared" ca="1" si="0"/>
        <v>-1.2613434978787238E-3</v>
      </c>
    </row>
    <row r="460" spans="1:3" ht="13" x14ac:dyDescent="0.15">
      <c r="A460" s="3">
        <f ca="1">IFERROR(__xludf.DUMMYFUNCTION("""COMPUTED_VALUE"""),41103.6666666666)</f>
        <v>41103.666666666599</v>
      </c>
      <c r="B460" s="4">
        <f ca="1">IFERROR(__xludf.DUMMYFUNCTION("""COMPUTED_VALUE"""),288.26)</f>
        <v>288.26</v>
      </c>
      <c r="C460" s="5">
        <f t="shared" ca="1" si="0"/>
        <v>1.0566978306013084E-2</v>
      </c>
    </row>
    <row r="461" spans="1:3" ht="13" x14ac:dyDescent="0.15">
      <c r="A461" s="3">
        <f ca="1">IFERROR(__xludf.DUMMYFUNCTION("""COMPUTED_VALUE"""),41106.6666666666)</f>
        <v>41106.666666666599</v>
      </c>
      <c r="B461" s="4">
        <f ca="1">IFERROR(__xludf.DUMMYFUNCTION("""COMPUTED_VALUE"""),287.45)</f>
        <v>287.45</v>
      </c>
      <c r="C461" s="5">
        <f t="shared" ca="1" si="0"/>
        <v>-2.8139185856567738E-3</v>
      </c>
    </row>
    <row r="462" spans="1:3" ht="13" x14ac:dyDescent="0.15">
      <c r="A462" s="3">
        <f ca="1">IFERROR(__xludf.DUMMYFUNCTION("""COMPUTED_VALUE"""),41107.6666666666)</f>
        <v>41107.666666666599</v>
      </c>
      <c r="B462" s="4">
        <f ca="1">IFERROR(__xludf.DUMMYFUNCTION("""COMPUTED_VALUE"""),288.36)</f>
        <v>288.36</v>
      </c>
      <c r="C462" s="5">
        <f t="shared" ca="1" si="0"/>
        <v>3.1607674670780738E-3</v>
      </c>
    </row>
    <row r="463" spans="1:3" ht="13" x14ac:dyDescent="0.15">
      <c r="A463" s="3">
        <f ca="1">IFERROR(__xludf.DUMMYFUNCTION("""COMPUTED_VALUE"""),41108.6666666666)</f>
        <v>41108.666666666599</v>
      </c>
      <c r="B463" s="4">
        <f ca="1">IFERROR(__xludf.DUMMYFUNCTION("""COMPUTED_VALUE"""),290.38)</f>
        <v>290.38</v>
      </c>
      <c r="C463" s="5">
        <f t="shared" ca="1" si="0"/>
        <v>6.9807105191636819E-3</v>
      </c>
    </row>
    <row r="464" spans="1:3" ht="13" x14ac:dyDescent="0.15">
      <c r="A464" s="3">
        <f ca="1">IFERROR(__xludf.DUMMYFUNCTION("""COMPUTED_VALUE"""),41109.6666666666)</f>
        <v>41109.666666666599</v>
      </c>
      <c r="B464" s="4">
        <f ca="1">IFERROR(__xludf.DUMMYFUNCTION("""COMPUTED_VALUE"""),296.52)</f>
        <v>296.52</v>
      </c>
      <c r="C464" s="5">
        <f t="shared" ca="1" si="0"/>
        <v>2.0924259732977318E-2</v>
      </c>
    </row>
    <row r="465" spans="1:3" ht="13" x14ac:dyDescent="0.15">
      <c r="A465" s="3">
        <f ca="1">IFERROR(__xludf.DUMMYFUNCTION("""COMPUTED_VALUE"""),41110.6666666666)</f>
        <v>41110.666666666599</v>
      </c>
      <c r="B465" s="4">
        <f ca="1">IFERROR(__xludf.DUMMYFUNCTION("""COMPUTED_VALUE"""),305.41)</f>
        <v>305.41000000000003</v>
      </c>
      <c r="C465" s="5">
        <f t="shared" ca="1" si="0"/>
        <v>2.9540466402312601E-2</v>
      </c>
    </row>
    <row r="466" spans="1:3" ht="13" x14ac:dyDescent="0.15">
      <c r="A466" s="3">
        <f ca="1">IFERROR(__xludf.DUMMYFUNCTION("""COMPUTED_VALUE"""),41113.6666666666)</f>
        <v>41113.666666666599</v>
      </c>
      <c r="B466" s="4">
        <f ca="1">IFERROR(__xludf.DUMMYFUNCTION("""COMPUTED_VALUE"""),307.75)</f>
        <v>307.75</v>
      </c>
      <c r="C466" s="5">
        <f t="shared" ca="1" si="0"/>
        <v>7.6326288737313111E-3</v>
      </c>
    </row>
    <row r="467" spans="1:3" ht="13" x14ac:dyDescent="0.15">
      <c r="A467" s="3">
        <f ca="1">IFERROR(__xludf.DUMMYFUNCTION("""COMPUTED_VALUE"""),41114.6666666666)</f>
        <v>41114.666666666599</v>
      </c>
      <c r="B467" s="4">
        <f ca="1">IFERROR(__xludf.DUMMYFUNCTION("""COMPUTED_VALUE"""),303.78)</f>
        <v>303.77999999999997</v>
      </c>
      <c r="C467" s="5">
        <f t="shared" ca="1" si="0"/>
        <v>-1.2984009854690209E-2</v>
      </c>
    </row>
    <row r="468" spans="1:3" ht="13" x14ac:dyDescent="0.15">
      <c r="A468" s="3">
        <f ca="1">IFERROR(__xludf.DUMMYFUNCTION("""COMPUTED_VALUE"""),41115.6666666666)</f>
        <v>41115.666666666599</v>
      </c>
      <c r="B468" s="4">
        <f ca="1">IFERROR(__xludf.DUMMYFUNCTION("""COMPUTED_VALUE"""),303.99)</f>
        <v>303.99</v>
      </c>
      <c r="C468" s="5">
        <f t="shared" ca="1" si="0"/>
        <v>6.9105091846315136E-4</v>
      </c>
    </row>
    <row r="469" spans="1:3" ht="13" x14ac:dyDescent="0.15">
      <c r="A469" s="3">
        <f ca="1">IFERROR(__xludf.DUMMYFUNCTION("""COMPUTED_VALUE"""),41116.6666666666)</f>
        <v>41116.666666666599</v>
      </c>
      <c r="B469" s="4">
        <f ca="1">IFERROR(__xludf.DUMMYFUNCTION("""COMPUTED_VALUE"""),306.68)</f>
        <v>306.68</v>
      </c>
      <c r="C469" s="5">
        <f t="shared" ca="1" si="0"/>
        <v>8.8100525623577026E-3</v>
      </c>
    </row>
    <row r="470" spans="1:3" ht="13" x14ac:dyDescent="0.15">
      <c r="A470" s="3">
        <f ca="1">IFERROR(__xludf.DUMMYFUNCTION("""COMPUTED_VALUE"""),41117.6666666666)</f>
        <v>41117.666666666599</v>
      </c>
      <c r="B470" s="4">
        <f ca="1">IFERROR(__xludf.DUMMYFUNCTION("""COMPUTED_VALUE"""),317.48)</f>
        <v>317.48</v>
      </c>
      <c r="C470" s="5">
        <f t="shared" ca="1" si="0"/>
        <v>3.4609965531981063E-2</v>
      </c>
    </row>
    <row r="471" spans="1:3" ht="13" x14ac:dyDescent="0.15">
      <c r="A471" s="3">
        <f ca="1">IFERROR(__xludf.DUMMYFUNCTION("""COMPUTED_VALUE"""),41120.6666666666)</f>
        <v>41120.666666666599</v>
      </c>
      <c r="B471" s="4">
        <f ca="1">IFERROR(__xludf.DUMMYFUNCTION("""COMPUTED_VALUE"""),316.14)</f>
        <v>316.14</v>
      </c>
      <c r="C471" s="5">
        <f t="shared" ca="1" si="0"/>
        <v>-4.2296707734255151E-3</v>
      </c>
    </row>
    <row r="472" spans="1:3" ht="13" x14ac:dyDescent="0.15">
      <c r="A472" s="3">
        <f ca="1">IFERROR(__xludf.DUMMYFUNCTION("""COMPUTED_VALUE"""),41121.6666666666)</f>
        <v>41121.666666666599</v>
      </c>
      <c r="B472" s="4">
        <f ca="1">IFERROR(__xludf.DUMMYFUNCTION("""COMPUTED_VALUE"""),316.48)</f>
        <v>316.48</v>
      </c>
      <c r="C472" s="5">
        <f t="shared" ca="1" si="0"/>
        <v>1.0748949850980878E-3</v>
      </c>
    </row>
    <row r="473" spans="1:3" ht="13" x14ac:dyDescent="0.15">
      <c r="A473" s="3">
        <f ca="1">IFERROR(__xludf.DUMMYFUNCTION("""COMPUTED_VALUE"""),41122.6666666666)</f>
        <v>41122.666666666599</v>
      </c>
      <c r="B473" s="4">
        <f ca="1">IFERROR(__xludf.DUMMYFUNCTION("""COMPUTED_VALUE"""),316.33)</f>
        <v>316.33</v>
      </c>
      <c r="C473" s="5">
        <f t="shared" ca="1" si="0"/>
        <v>-4.7407595584573895E-4</v>
      </c>
    </row>
    <row r="474" spans="1:3" ht="13" x14ac:dyDescent="0.15">
      <c r="A474" s="3">
        <f ca="1">IFERROR(__xludf.DUMMYFUNCTION("""COMPUTED_VALUE"""),41123.6666666666)</f>
        <v>41123.666666666599</v>
      </c>
      <c r="B474" s="4">
        <f ca="1">IFERROR(__xludf.DUMMYFUNCTION("""COMPUTED_VALUE"""),314.37)</f>
        <v>314.37</v>
      </c>
      <c r="C474" s="5">
        <f t="shared" ca="1" si="0"/>
        <v>-6.2153363235415765E-3</v>
      </c>
    </row>
    <row r="475" spans="1:3" ht="13" x14ac:dyDescent="0.15">
      <c r="A475" s="3">
        <f ca="1">IFERROR(__xludf.DUMMYFUNCTION("""COMPUTED_VALUE"""),41124.6666666666)</f>
        <v>41124.666666666599</v>
      </c>
      <c r="B475" s="4">
        <f ca="1">IFERROR(__xludf.DUMMYFUNCTION("""COMPUTED_VALUE"""),320.66)</f>
        <v>320.66000000000003</v>
      </c>
      <c r="C475" s="5">
        <f t="shared" ca="1" si="0"/>
        <v>1.9810735605731364E-2</v>
      </c>
    </row>
    <row r="476" spans="1:3" ht="13" x14ac:dyDescent="0.15">
      <c r="A476" s="3">
        <f ca="1">IFERROR(__xludf.DUMMYFUNCTION("""COMPUTED_VALUE"""),41127.6666666666)</f>
        <v>41127.666666666599</v>
      </c>
      <c r="B476" s="4">
        <f ca="1">IFERROR(__xludf.DUMMYFUNCTION("""COMPUTED_VALUE"""),321.41)</f>
        <v>321.41000000000003</v>
      </c>
      <c r="C476" s="5">
        <f t="shared" ca="1" si="0"/>
        <v>2.3361949354832458E-3</v>
      </c>
    </row>
    <row r="477" spans="1:3" ht="13" x14ac:dyDescent="0.15">
      <c r="A477" s="3">
        <f ca="1">IFERROR(__xludf.DUMMYFUNCTION("""COMPUTED_VALUE"""),41128.6666666666)</f>
        <v>41128.666666666599</v>
      </c>
      <c r="B477" s="4">
        <f ca="1">IFERROR(__xludf.DUMMYFUNCTION("""COMPUTED_VALUE"""),320.26)</f>
        <v>320.26</v>
      </c>
      <c r="C477" s="5">
        <f t="shared" ca="1" si="0"/>
        <v>-3.5844008018440371E-3</v>
      </c>
    </row>
    <row r="478" spans="1:3" ht="13" x14ac:dyDescent="0.15">
      <c r="A478" s="3">
        <f ca="1">IFERROR(__xludf.DUMMYFUNCTION("""COMPUTED_VALUE"""),41129.6666666666)</f>
        <v>41129.666666666599</v>
      </c>
      <c r="B478" s="4">
        <f ca="1">IFERROR(__xludf.DUMMYFUNCTION("""COMPUTED_VALUE"""),321.11)</f>
        <v>321.11</v>
      </c>
      <c r="C478" s="5">
        <f t="shared" ca="1" si="0"/>
        <v>2.6505776623289585E-3</v>
      </c>
    </row>
    <row r="479" spans="1:3" ht="13" x14ac:dyDescent="0.15">
      <c r="A479" s="3">
        <f ca="1">IFERROR(__xludf.DUMMYFUNCTION("""COMPUTED_VALUE"""),41130.6666666666)</f>
        <v>41130.666666666599</v>
      </c>
      <c r="B479" s="4">
        <f ca="1">IFERROR(__xludf.DUMMYFUNCTION("""COMPUTED_VALUE"""),321.17)</f>
        <v>321.17</v>
      </c>
      <c r="C479" s="5">
        <f t="shared" ca="1" si="0"/>
        <v>1.8683440298481374E-4</v>
      </c>
    </row>
    <row r="480" spans="1:3" ht="13" x14ac:dyDescent="0.15">
      <c r="A480" s="3">
        <f ca="1">IFERROR(__xludf.DUMMYFUNCTION("""COMPUTED_VALUE"""),41131.6666666666)</f>
        <v>41131.666666666599</v>
      </c>
      <c r="B480" s="4">
        <f ca="1">IFERROR(__xludf.DUMMYFUNCTION("""COMPUTED_VALUE"""),321)</f>
        <v>321</v>
      </c>
      <c r="C480" s="5">
        <f t="shared" ca="1" si="0"/>
        <v>-5.294548296284438E-4</v>
      </c>
    </row>
    <row r="481" spans="1:3" ht="13" x14ac:dyDescent="0.15">
      <c r="A481" s="3">
        <f ca="1">IFERROR(__xludf.DUMMYFUNCTION("""COMPUTED_VALUE"""),41134.6666666666)</f>
        <v>41134.666666666599</v>
      </c>
      <c r="B481" s="4">
        <f ca="1">IFERROR(__xludf.DUMMYFUNCTION("""COMPUTED_VALUE"""),330)</f>
        <v>330</v>
      </c>
      <c r="C481" s="5">
        <f t="shared" ca="1" si="0"/>
        <v>2.7651531330509949E-2</v>
      </c>
    </row>
    <row r="482" spans="1:3" ht="13" x14ac:dyDescent="0.15">
      <c r="A482" s="3">
        <f ca="1">IFERROR(__xludf.DUMMYFUNCTION("""COMPUTED_VALUE"""),41135.6666666666)</f>
        <v>41135.666666666599</v>
      </c>
      <c r="B482" s="4">
        <f ca="1">IFERROR(__xludf.DUMMYFUNCTION("""COMPUTED_VALUE"""),334.32)</f>
        <v>334.32</v>
      </c>
      <c r="C482" s="5">
        <f t="shared" ca="1" si="0"/>
        <v>1.3005963679133984E-2</v>
      </c>
    </row>
    <row r="483" spans="1:3" ht="13" x14ac:dyDescent="0.15">
      <c r="A483" s="3">
        <f ca="1">IFERROR(__xludf.DUMMYFUNCTION("""COMPUTED_VALUE"""),41136.6666666666)</f>
        <v>41136.666666666599</v>
      </c>
      <c r="B483" s="4">
        <f ca="1">IFERROR(__xludf.DUMMYFUNCTION("""COMPUTED_VALUE"""),333.76)</f>
        <v>333.76</v>
      </c>
      <c r="C483" s="5">
        <f t="shared" ca="1" si="0"/>
        <v>-1.6764463272523713E-3</v>
      </c>
    </row>
    <row r="484" spans="1:3" ht="13" x14ac:dyDescent="0.15">
      <c r="A484" s="3">
        <f ca="1">IFERROR(__xludf.DUMMYFUNCTION("""COMPUTED_VALUE"""),41137.6666666666)</f>
        <v>41137.666666666599</v>
      </c>
      <c r="B484" s="4">
        <f ca="1">IFERROR(__xludf.DUMMYFUNCTION("""COMPUTED_VALUE"""),336.43)</f>
        <v>336.43</v>
      </c>
      <c r="C484" s="5">
        <f t="shared" ca="1" si="0"/>
        <v>7.9679318582829058E-3</v>
      </c>
    </row>
    <row r="485" spans="1:3" ht="13" x14ac:dyDescent="0.15">
      <c r="A485" s="3">
        <f ca="1">IFERROR(__xludf.DUMMYFUNCTION("""COMPUTED_VALUE"""),41138.6666666666)</f>
        <v>41138.666666666599</v>
      </c>
      <c r="B485" s="4">
        <f ca="1">IFERROR(__xludf.DUMMYFUNCTION("""COMPUTED_VALUE"""),338.57)</f>
        <v>338.57</v>
      </c>
      <c r="C485" s="5">
        <f t="shared" ca="1" si="0"/>
        <v>6.3407619849886994E-3</v>
      </c>
    </row>
    <row r="486" spans="1:3" ht="13" x14ac:dyDescent="0.15">
      <c r="A486" s="3">
        <f ca="1">IFERROR(__xludf.DUMMYFUNCTION("""COMPUTED_VALUE"""),41141.6666666666)</f>
        <v>41141.666666666599</v>
      </c>
      <c r="B486" s="4">
        <f ca="1">IFERROR(__xludf.DUMMYFUNCTION("""COMPUTED_VALUE"""),337.76)</f>
        <v>337.76</v>
      </c>
      <c r="C486" s="5">
        <f t="shared" ca="1" si="0"/>
        <v>-2.3952815556687085E-3</v>
      </c>
    </row>
    <row r="487" spans="1:3" ht="13" x14ac:dyDescent="0.15">
      <c r="A487" s="3">
        <f ca="1">IFERROR(__xludf.DUMMYFUNCTION("""COMPUTED_VALUE"""),41142.6666666666)</f>
        <v>41142.666666666599</v>
      </c>
      <c r="B487" s="4">
        <f ca="1">IFERROR(__xludf.DUMMYFUNCTION("""COMPUTED_VALUE"""),334.75)</f>
        <v>334.75</v>
      </c>
      <c r="C487" s="5">
        <f t="shared" ca="1" si="0"/>
        <v>-8.9515995287285776E-3</v>
      </c>
    </row>
    <row r="488" spans="1:3" ht="13" x14ac:dyDescent="0.15">
      <c r="A488" s="3">
        <f ca="1">IFERROR(__xludf.DUMMYFUNCTION("""COMPUTED_VALUE"""),41143.6666666666)</f>
        <v>41143.666666666599</v>
      </c>
      <c r="B488" s="4">
        <f ca="1">IFERROR(__xludf.DUMMYFUNCTION("""COMPUTED_VALUE"""),338.59)</f>
        <v>338.59</v>
      </c>
      <c r="C488" s="5">
        <f t="shared" ca="1" si="0"/>
        <v>1.1405951318923224E-2</v>
      </c>
    </row>
    <row r="489" spans="1:3" ht="13" x14ac:dyDescent="0.15">
      <c r="A489" s="3">
        <f ca="1">IFERROR(__xludf.DUMMYFUNCTION("""COMPUTED_VALUE"""),41144.6666666666)</f>
        <v>41144.666666666599</v>
      </c>
      <c r="B489" s="4">
        <f ca="1">IFERROR(__xludf.DUMMYFUNCTION("""COMPUTED_VALUE"""),338.4)</f>
        <v>338.4</v>
      </c>
      <c r="C489" s="5">
        <f t="shared" ca="1" si="0"/>
        <v>-5.6130815813689458E-4</v>
      </c>
    </row>
    <row r="490" spans="1:3" ht="13" x14ac:dyDescent="0.15">
      <c r="A490" s="3">
        <f ca="1">IFERROR(__xludf.DUMMYFUNCTION("""COMPUTED_VALUE"""),41145.6666666666)</f>
        <v>41145.666666666599</v>
      </c>
      <c r="B490" s="4">
        <f ca="1">IFERROR(__xludf.DUMMYFUNCTION("""COMPUTED_VALUE"""),339.31)</f>
        <v>339.31</v>
      </c>
      <c r="C490" s="5">
        <f t="shared" ca="1" si="0"/>
        <v>2.6855160670779523E-3</v>
      </c>
    </row>
    <row r="491" spans="1:3" ht="13" x14ac:dyDescent="0.15">
      <c r="A491" s="3">
        <f ca="1">IFERROR(__xludf.DUMMYFUNCTION("""COMPUTED_VALUE"""),41148.6666666666)</f>
        <v>41148.666666666599</v>
      </c>
      <c r="B491" s="4">
        <f ca="1">IFERROR(__xludf.DUMMYFUNCTION("""COMPUTED_VALUE"""),334.6)</f>
        <v>334.6</v>
      </c>
      <c r="C491" s="5">
        <f t="shared" ca="1" si="0"/>
        <v>-1.3978355246422453E-2</v>
      </c>
    </row>
    <row r="492" spans="1:3" ht="13" x14ac:dyDescent="0.15">
      <c r="A492" s="3">
        <f ca="1">IFERROR(__xludf.DUMMYFUNCTION("""COMPUTED_VALUE"""),41149.6666666666)</f>
        <v>41149.666666666599</v>
      </c>
      <c r="B492" s="4">
        <f ca="1">IFERROR(__xludf.DUMMYFUNCTION("""COMPUTED_VALUE"""),338.62)</f>
        <v>338.62</v>
      </c>
      <c r="C492" s="5">
        <f t="shared" ca="1" si="0"/>
        <v>1.1942746147362177E-2</v>
      </c>
    </row>
    <row r="493" spans="1:3" ht="13" x14ac:dyDescent="0.15">
      <c r="A493" s="3">
        <f ca="1">IFERROR(__xludf.DUMMYFUNCTION("""COMPUTED_VALUE"""),41150.6666666666)</f>
        <v>41150.666666666599</v>
      </c>
      <c r="B493" s="4">
        <f ca="1">IFERROR(__xludf.DUMMYFUNCTION("""COMPUTED_VALUE"""),344)</f>
        <v>344</v>
      </c>
      <c r="C493" s="5">
        <f t="shared" ca="1" si="0"/>
        <v>1.5763122673312504E-2</v>
      </c>
    </row>
    <row r="494" spans="1:3" ht="13" x14ac:dyDescent="0.15">
      <c r="A494" s="3">
        <f ca="1">IFERROR(__xludf.DUMMYFUNCTION("""COMPUTED_VALUE"""),41151.6666666666)</f>
        <v>41151.666666666599</v>
      </c>
      <c r="B494" s="4">
        <f ca="1">IFERROR(__xludf.DUMMYFUNCTION("""COMPUTED_VALUE"""),340.84)</f>
        <v>340.84</v>
      </c>
      <c r="C494" s="5">
        <f t="shared" ca="1" si="0"/>
        <v>-9.2284984136432515E-3</v>
      </c>
    </row>
    <row r="495" spans="1:3" ht="13" x14ac:dyDescent="0.15">
      <c r="A495" s="3">
        <f ca="1">IFERROR(__xludf.DUMMYFUNCTION("""COMPUTED_VALUE"""),41152.6666666666)</f>
        <v>41152.666666666599</v>
      </c>
      <c r="B495" s="4">
        <f ca="1">IFERROR(__xludf.DUMMYFUNCTION("""COMPUTED_VALUE"""),342.54)</f>
        <v>342.54</v>
      </c>
      <c r="C495" s="5">
        <f t="shared" ca="1" si="0"/>
        <v>4.9752802444677936E-3</v>
      </c>
    </row>
    <row r="496" spans="1:3" ht="13" x14ac:dyDescent="0.15">
      <c r="A496" s="3">
        <f ca="1">IFERROR(__xludf.DUMMYFUNCTION("""COMPUTED_VALUE"""),41156.6666666666)</f>
        <v>41156.666666666599</v>
      </c>
      <c r="B496" s="4">
        <f ca="1">IFERROR(__xludf.DUMMYFUNCTION("""COMPUTED_VALUE"""),340.51)</f>
        <v>340.51</v>
      </c>
      <c r="C496" s="5">
        <f t="shared" ca="1" si="0"/>
        <v>-5.9439454702799512E-3</v>
      </c>
    </row>
    <row r="497" spans="1:3" ht="13" x14ac:dyDescent="0.15">
      <c r="A497" s="3">
        <f ca="1">IFERROR(__xludf.DUMMYFUNCTION("""COMPUTED_VALUE"""),41157.6666666666)</f>
        <v>41157.666666666599</v>
      </c>
      <c r="B497" s="4">
        <f ca="1">IFERROR(__xludf.DUMMYFUNCTION("""COMPUTED_VALUE"""),340.35)</f>
        <v>340.35</v>
      </c>
      <c r="C497" s="5">
        <f t="shared" ca="1" si="0"/>
        <v>-4.6999383998241922E-4</v>
      </c>
    </row>
    <row r="498" spans="1:3" ht="13" x14ac:dyDescent="0.15">
      <c r="A498" s="3">
        <f ca="1">IFERROR(__xludf.DUMMYFUNCTION("""COMPUTED_VALUE"""),41158.6666666666)</f>
        <v>41158.666666666599</v>
      </c>
      <c r="B498" s="4">
        <f ca="1">IFERROR(__xludf.DUMMYFUNCTION("""COMPUTED_VALUE"""),349.7)</f>
        <v>349.7</v>
      </c>
      <c r="C498" s="5">
        <f t="shared" ca="1" si="0"/>
        <v>2.7101144175369719E-2</v>
      </c>
    </row>
    <row r="499" spans="1:3" ht="13" x14ac:dyDescent="0.15">
      <c r="A499" s="3">
        <f ca="1">IFERROR(__xludf.DUMMYFUNCTION("""COMPUTED_VALUE"""),41159.6666666666)</f>
        <v>41159.666666666599</v>
      </c>
      <c r="B499" s="4">
        <f ca="1">IFERROR(__xludf.DUMMYFUNCTION("""COMPUTED_VALUE"""),353.07)</f>
        <v>353.07</v>
      </c>
      <c r="C499" s="5">
        <f t="shared" ca="1" si="0"/>
        <v>9.5906934883504737E-3</v>
      </c>
    </row>
    <row r="500" spans="1:3" ht="13" x14ac:dyDescent="0.15">
      <c r="A500" s="3">
        <f ca="1">IFERROR(__xludf.DUMMYFUNCTION("""COMPUTED_VALUE"""),41162.6666666666)</f>
        <v>41162.666666666599</v>
      </c>
      <c r="B500" s="4">
        <f ca="1">IFERROR(__xludf.DUMMYFUNCTION("""COMPUTED_VALUE"""),350.38)</f>
        <v>350.38</v>
      </c>
      <c r="C500" s="5">
        <f t="shared" ca="1" si="0"/>
        <v>-7.6480577500045869E-3</v>
      </c>
    </row>
    <row r="501" spans="1:3" ht="13" x14ac:dyDescent="0.15">
      <c r="A501" s="3">
        <f ca="1">IFERROR(__xludf.DUMMYFUNCTION("""COMPUTED_VALUE"""),41163.6666666666)</f>
        <v>41163.666666666599</v>
      </c>
      <c r="B501" s="4">
        <f ca="1">IFERROR(__xludf.DUMMYFUNCTION("""COMPUTED_VALUE"""),346.09)</f>
        <v>346.09</v>
      </c>
      <c r="C501" s="5">
        <f t="shared" ca="1" si="0"/>
        <v>-1.2319422967214468E-2</v>
      </c>
    </row>
    <row r="502" spans="1:3" ht="13" x14ac:dyDescent="0.15">
      <c r="A502" s="3">
        <f ca="1">IFERROR(__xludf.DUMMYFUNCTION("""COMPUTED_VALUE"""),41164.6666666666)</f>
        <v>41164.666666666599</v>
      </c>
      <c r="B502" s="4">
        <f ca="1">IFERROR(__xludf.DUMMYFUNCTION("""COMPUTED_VALUE"""),345.44)</f>
        <v>345.44</v>
      </c>
      <c r="C502" s="5">
        <f t="shared" ca="1" si="0"/>
        <v>-1.8798900739641986E-3</v>
      </c>
    </row>
    <row r="503" spans="1:3" ht="13" x14ac:dyDescent="0.15">
      <c r="A503" s="3">
        <f ca="1">IFERROR(__xludf.DUMMYFUNCTION("""COMPUTED_VALUE"""),41165.6666666666)</f>
        <v>41165.666666666599</v>
      </c>
      <c r="B503" s="4">
        <f ca="1">IFERROR(__xludf.DUMMYFUNCTION("""COMPUTED_VALUE"""),353.01)</f>
        <v>353.01</v>
      </c>
      <c r="C503" s="5">
        <f t="shared" ca="1" si="0"/>
        <v>2.1677418377449981E-2</v>
      </c>
    </row>
    <row r="504" spans="1:3" ht="13" x14ac:dyDescent="0.15">
      <c r="A504" s="3">
        <f ca="1">IFERROR(__xludf.DUMMYFUNCTION("""COMPUTED_VALUE"""),41166.6666666666)</f>
        <v>41166.666666666599</v>
      </c>
      <c r="B504" s="4">
        <f ca="1">IFERROR(__xludf.DUMMYFUNCTION("""COMPUTED_VALUE"""),354.84)</f>
        <v>354.84</v>
      </c>
      <c r="C504" s="5">
        <f t="shared" ca="1" si="0"/>
        <v>5.1705985084387731E-3</v>
      </c>
    </row>
    <row r="505" spans="1:3" ht="13" x14ac:dyDescent="0.15">
      <c r="A505" s="3">
        <f ca="1">IFERROR(__xludf.DUMMYFUNCTION("""COMPUTED_VALUE"""),41169.6666666666)</f>
        <v>41169.666666666599</v>
      </c>
      <c r="B505" s="4">
        <f ca="1">IFERROR(__xludf.DUMMYFUNCTION("""COMPUTED_VALUE"""),354.98)</f>
        <v>354.98</v>
      </c>
      <c r="C505" s="5">
        <f t="shared" ca="1" si="0"/>
        <v>3.9446620781444838E-4</v>
      </c>
    </row>
    <row r="506" spans="1:3" ht="13" x14ac:dyDescent="0.15">
      <c r="A506" s="3">
        <f ca="1">IFERROR(__xludf.DUMMYFUNCTION("""COMPUTED_VALUE"""),41170.6666666666)</f>
        <v>41170.666666666599</v>
      </c>
      <c r="B506" s="4">
        <f ca="1">IFERROR(__xludf.DUMMYFUNCTION("""COMPUTED_VALUE"""),359.14)</f>
        <v>359.14</v>
      </c>
      <c r="C506" s="5">
        <f t="shared" ca="1" si="0"/>
        <v>1.1650834753551265E-2</v>
      </c>
    </row>
    <row r="507" spans="1:3" ht="13" x14ac:dyDescent="0.15">
      <c r="A507" s="3">
        <f ca="1">IFERROR(__xludf.DUMMYFUNCTION("""COMPUTED_VALUE"""),41171.6666666666)</f>
        <v>41171.666666666599</v>
      </c>
      <c r="B507" s="4">
        <f ca="1">IFERROR(__xludf.DUMMYFUNCTION("""COMPUTED_VALUE"""),363.75)</f>
        <v>363.75</v>
      </c>
      <c r="C507" s="5">
        <f t="shared" ca="1" si="0"/>
        <v>1.2754533871950502E-2</v>
      </c>
    </row>
    <row r="508" spans="1:3" ht="13" x14ac:dyDescent="0.15">
      <c r="A508" s="3">
        <f ca="1">IFERROR(__xludf.DUMMYFUNCTION("""COMPUTED_VALUE"""),41172.6666666666)</f>
        <v>41172.666666666599</v>
      </c>
      <c r="B508" s="4">
        <f ca="1">IFERROR(__xludf.DUMMYFUNCTION("""COMPUTED_VALUE"""),364.05)</f>
        <v>364.05</v>
      </c>
      <c r="C508" s="5">
        <f t="shared" ca="1" si="0"/>
        <v>8.2440235501776216E-4</v>
      </c>
    </row>
    <row r="509" spans="1:3" ht="13" x14ac:dyDescent="0.15">
      <c r="A509" s="3">
        <f ca="1">IFERROR(__xludf.DUMMYFUNCTION("""COMPUTED_VALUE"""),41173.6666666666)</f>
        <v>41173.666666666599</v>
      </c>
      <c r="B509" s="4">
        <f ca="1">IFERROR(__xludf.DUMMYFUNCTION("""COMPUTED_VALUE"""),366.99)</f>
        <v>366.99</v>
      </c>
      <c r="C509" s="5">
        <f t="shared" ca="1" si="0"/>
        <v>8.0433788862146766E-3</v>
      </c>
    </row>
    <row r="510" spans="1:3" ht="13" x14ac:dyDescent="0.15">
      <c r="A510" s="3">
        <f ca="1">IFERROR(__xludf.DUMMYFUNCTION("""COMPUTED_VALUE"""),41176.6666666666)</f>
        <v>41176.666666666599</v>
      </c>
      <c r="B510" s="4">
        <f ca="1">IFERROR(__xludf.DUMMYFUNCTION("""COMPUTED_VALUE"""),374.69)</f>
        <v>374.69</v>
      </c>
      <c r="C510" s="5">
        <f t="shared" ca="1" si="0"/>
        <v>2.0764417699495236E-2</v>
      </c>
    </row>
    <row r="511" spans="1:3" ht="13" x14ac:dyDescent="0.15">
      <c r="A511" s="3">
        <f ca="1">IFERROR(__xludf.DUMMYFUNCTION("""COMPUTED_VALUE"""),41177.6666666666)</f>
        <v>41177.666666666599</v>
      </c>
      <c r="B511" s="4">
        <f ca="1">IFERROR(__xludf.DUMMYFUNCTION("""COMPUTED_VALUE"""),374.57)</f>
        <v>374.57</v>
      </c>
      <c r="C511" s="5">
        <f t="shared" ca="1" si="0"/>
        <v>-3.2031604790333387E-4</v>
      </c>
    </row>
    <row r="512" spans="1:3" ht="13" x14ac:dyDescent="0.15">
      <c r="A512" s="3">
        <f ca="1">IFERROR(__xludf.DUMMYFUNCTION("""COMPUTED_VALUE"""),41178.6666666666)</f>
        <v>41178.666666666599</v>
      </c>
      <c r="B512" s="4">
        <f ca="1">IFERROR(__xludf.DUMMYFUNCTION("""COMPUTED_VALUE"""),376.73)</f>
        <v>376.73</v>
      </c>
      <c r="C512" s="5">
        <f t="shared" ca="1" si="0"/>
        <v>5.7500491184570325E-3</v>
      </c>
    </row>
    <row r="513" spans="1:3" ht="13" x14ac:dyDescent="0.15">
      <c r="A513" s="3">
        <f ca="1">IFERROR(__xludf.DUMMYFUNCTION("""COMPUTED_VALUE"""),41179.6666666666)</f>
        <v>41179.666666666599</v>
      </c>
      <c r="B513" s="4">
        <f ca="1">IFERROR(__xludf.DUMMYFUNCTION("""COMPUTED_VALUE"""),378.25)</f>
        <v>378.25</v>
      </c>
      <c r="C513" s="5">
        <f t="shared" ca="1" si="0"/>
        <v>4.0266021714815822E-3</v>
      </c>
    </row>
    <row r="514" spans="1:3" ht="13" x14ac:dyDescent="0.15">
      <c r="A514" s="3">
        <f ca="1">IFERROR(__xludf.DUMMYFUNCTION("""COMPUTED_VALUE"""),41180.6666666666)</f>
        <v>41180.666666666599</v>
      </c>
      <c r="B514" s="4">
        <f ca="1">IFERROR(__xludf.DUMMYFUNCTION("""COMPUTED_VALUE"""),377.25)</f>
        <v>377.25</v>
      </c>
      <c r="C514" s="5">
        <f t="shared" ca="1" si="0"/>
        <v>-2.6472550205070074E-3</v>
      </c>
    </row>
    <row r="515" spans="1:3" ht="13" x14ac:dyDescent="0.15">
      <c r="A515" s="3">
        <f ca="1">IFERROR(__xludf.DUMMYFUNCTION("""COMPUTED_VALUE"""),41183.6666666666)</f>
        <v>41183.666666666599</v>
      </c>
      <c r="B515" s="4">
        <f ca="1">IFERROR(__xludf.DUMMYFUNCTION("""COMPUTED_VALUE"""),380.89)</f>
        <v>380.89</v>
      </c>
      <c r="C515" s="5">
        <f t="shared" ca="1" si="0"/>
        <v>9.6025218820966988E-3</v>
      </c>
    </row>
    <row r="516" spans="1:3" ht="13" x14ac:dyDescent="0.15">
      <c r="A516" s="3">
        <f ca="1">IFERROR(__xludf.DUMMYFUNCTION("""COMPUTED_VALUE"""),41184.6666666666)</f>
        <v>41184.666666666599</v>
      </c>
      <c r="B516" s="4">
        <f ca="1">IFERROR(__xludf.DUMMYFUNCTION("""COMPUTED_VALUE"""),378.49)</f>
        <v>378.49</v>
      </c>
      <c r="C516" s="5">
        <f t="shared" ca="1" si="0"/>
        <v>-6.3209670808281517E-3</v>
      </c>
    </row>
    <row r="517" spans="1:3" ht="13" x14ac:dyDescent="0.15">
      <c r="A517" s="3">
        <f ca="1">IFERROR(__xludf.DUMMYFUNCTION("""COMPUTED_VALUE"""),41185.6666666666)</f>
        <v>41185.666666666599</v>
      </c>
      <c r="B517" s="4">
        <f ca="1">IFERROR(__xludf.DUMMYFUNCTION("""COMPUTED_VALUE"""),381.25)</f>
        <v>381.25</v>
      </c>
      <c r="C517" s="5">
        <f t="shared" ca="1" si="0"/>
        <v>7.2656754723945663E-3</v>
      </c>
    </row>
    <row r="518" spans="1:3" ht="13" x14ac:dyDescent="0.15">
      <c r="A518" s="3">
        <f ca="1">IFERROR(__xludf.DUMMYFUNCTION("""COMPUTED_VALUE"""),41186.6666666666)</f>
        <v>41186.666666666599</v>
      </c>
      <c r="B518" s="4">
        <f ca="1">IFERROR(__xludf.DUMMYFUNCTION("""COMPUTED_VALUE"""),384.02)</f>
        <v>384.02</v>
      </c>
      <c r="C518" s="5">
        <f t="shared" ca="1" si="0"/>
        <v>7.2393066431491572E-3</v>
      </c>
    </row>
    <row r="519" spans="1:3" ht="13" x14ac:dyDescent="0.15">
      <c r="A519" s="3">
        <f ca="1">IFERROR(__xludf.DUMMYFUNCTION("""COMPUTED_VALUE"""),41187.6666666666)</f>
        <v>41187.666666666599</v>
      </c>
      <c r="B519" s="4">
        <f ca="1">IFERROR(__xludf.DUMMYFUNCTION("""COMPUTED_VALUE"""),383.82)</f>
        <v>383.82</v>
      </c>
      <c r="C519" s="5">
        <f t="shared" ca="1" si="0"/>
        <v>-5.2094187466920428E-4</v>
      </c>
    </row>
    <row r="520" spans="1:3" ht="13" x14ac:dyDescent="0.15">
      <c r="A520" s="3">
        <f ca="1">IFERROR(__xludf.DUMMYFUNCTION("""COMPUTED_VALUE"""),41190.6666666666)</f>
        <v>41190.666666666599</v>
      </c>
      <c r="B520" s="4">
        <f ca="1">IFERROR(__xludf.DUMMYFUNCTION("""COMPUTED_VALUE"""),378.92)</f>
        <v>378.92</v>
      </c>
      <c r="C520" s="5">
        <f t="shared" ca="1" si="0"/>
        <v>-1.2848591682767439E-2</v>
      </c>
    </row>
    <row r="521" spans="1:3" ht="13" x14ac:dyDescent="0.15">
      <c r="A521" s="3">
        <f ca="1">IFERROR(__xludf.DUMMYFUNCTION("""COMPUTED_VALUE"""),41191.6666666666)</f>
        <v>41191.666666666599</v>
      </c>
      <c r="B521" s="4">
        <f ca="1">IFERROR(__xludf.DUMMYFUNCTION("""COMPUTED_VALUE"""),372.04)</f>
        <v>372.04</v>
      </c>
      <c r="C521" s="5">
        <f t="shared" ca="1" si="0"/>
        <v>-1.8323725633067476E-2</v>
      </c>
    </row>
    <row r="522" spans="1:3" ht="13" x14ac:dyDescent="0.15">
      <c r="A522" s="3">
        <f ca="1">IFERROR(__xludf.DUMMYFUNCTION("""COMPUTED_VALUE"""),41192.6666666666)</f>
        <v>41192.666666666599</v>
      </c>
      <c r="B522" s="4">
        <f ca="1">IFERROR(__xludf.DUMMYFUNCTION("""COMPUTED_VALUE"""),372.28)</f>
        <v>372.28</v>
      </c>
      <c r="C522" s="5">
        <f t="shared" ca="1" si="0"/>
        <v>6.4488394324347699E-4</v>
      </c>
    </row>
    <row r="523" spans="1:3" ht="13" x14ac:dyDescent="0.15">
      <c r="A523" s="3">
        <f ca="1">IFERROR(__xludf.DUMMYFUNCTION("""COMPUTED_VALUE"""),41193.6666666666)</f>
        <v>41193.666666666599</v>
      </c>
      <c r="B523" s="4">
        <f ca="1">IFERROR(__xludf.DUMMYFUNCTION("""COMPUTED_VALUE"""),375.73)</f>
        <v>375.73</v>
      </c>
      <c r="C523" s="5">
        <f t="shared" ca="1" si="0"/>
        <v>9.2245410193993564E-3</v>
      </c>
    </row>
    <row r="524" spans="1:3" ht="13" x14ac:dyDescent="0.15">
      <c r="A524" s="3">
        <f ca="1">IFERROR(__xludf.DUMMYFUNCTION("""COMPUTED_VALUE"""),41194.6666666666)</f>
        <v>41194.666666666599</v>
      </c>
      <c r="B524" s="4">
        <f ca="1">IFERROR(__xludf.DUMMYFUNCTION("""COMPUTED_VALUE"""),372.37)</f>
        <v>372.37</v>
      </c>
      <c r="C524" s="5">
        <f t="shared" ca="1" si="0"/>
        <v>-8.9828167182156946E-3</v>
      </c>
    </row>
    <row r="525" spans="1:3" ht="13" x14ac:dyDescent="0.15">
      <c r="A525" s="3">
        <f ca="1">IFERROR(__xludf.DUMMYFUNCTION("""COMPUTED_VALUE"""),41197.6666666666)</f>
        <v>41197.666666666599</v>
      </c>
      <c r="B525" s="4">
        <f ca="1">IFERROR(__xludf.DUMMYFUNCTION("""COMPUTED_VALUE"""),370.48)</f>
        <v>370.48</v>
      </c>
      <c r="C525" s="5">
        <f t="shared" ca="1" si="0"/>
        <v>-5.0885214461969253E-3</v>
      </c>
    </row>
    <row r="526" spans="1:3" ht="13" x14ac:dyDescent="0.15">
      <c r="A526" s="3">
        <f ca="1">IFERROR(__xludf.DUMMYFUNCTION("""COMPUTED_VALUE"""),41198.6666666666)</f>
        <v>41198.666666666599</v>
      </c>
      <c r="B526" s="4">
        <f ca="1">IFERROR(__xludf.DUMMYFUNCTION("""COMPUTED_VALUE"""),372.35)</f>
        <v>372.35</v>
      </c>
      <c r="C526" s="5">
        <f t="shared" ca="1" si="0"/>
        <v>5.034809984157956E-3</v>
      </c>
    </row>
    <row r="527" spans="1:3" ht="13" x14ac:dyDescent="0.15">
      <c r="A527" s="3">
        <f ca="1">IFERROR(__xludf.DUMMYFUNCTION("""COMPUTED_VALUE"""),41199.6666666666)</f>
        <v>41199.666666666599</v>
      </c>
      <c r="B527" s="4">
        <f ca="1">IFERROR(__xludf.DUMMYFUNCTION("""COMPUTED_VALUE"""),377.74)</f>
        <v>377.74</v>
      </c>
      <c r="C527" s="5">
        <f t="shared" ca="1" si="0"/>
        <v>1.4371856111045508E-2</v>
      </c>
    </row>
    <row r="528" spans="1:3" ht="13" x14ac:dyDescent="0.15">
      <c r="A528" s="3">
        <f ca="1">IFERROR(__xludf.DUMMYFUNCTION("""COMPUTED_VALUE"""),41200.6666666666)</f>
        <v>41200.666666666599</v>
      </c>
      <c r="B528" s="4">
        <f ca="1">IFERROR(__xludf.DUMMYFUNCTION("""COMPUTED_VALUE"""),347.5)</f>
        <v>347.5</v>
      </c>
      <c r="C528" s="5">
        <f t="shared" ca="1" si="0"/>
        <v>-8.3441463262853247E-2</v>
      </c>
    </row>
    <row r="529" spans="1:3" ht="13" x14ac:dyDescent="0.15">
      <c r="A529" s="3">
        <f ca="1">IFERROR(__xludf.DUMMYFUNCTION("""COMPUTED_VALUE"""),41201.6666666666)</f>
        <v>41201.666666666599</v>
      </c>
      <c r="B529" s="4">
        <f ca="1">IFERROR(__xludf.DUMMYFUNCTION("""COMPUTED_VALUE"""),340.89)</f>
        <v>340.89</v>
      </c>
      <c r="C529" s="5">
        <f t="shared" ca="1" si="0"/>
        <v>-1.9204820406819395E-2</v>
      </c>
    </row>
    <row r="530" spans="1:3" ht="13" x14ac:dyDescent="0.15">
      <c r="A530" s="3">
        <f ca="1">IFERROR(__xludf.DUMMYFUNCTION("""COMPUTED_VALUE"""),41204.6666666666)</f>
        <v>41204.666666666599</v>
      </c>
      <c r="B530" s="4">
        <f ca="1">IFERROR(__xludf.DUMMYFUNCTION("""COMPUTED_VALUE"""),339.33)</f>
        <v>339.33</v>
      </c>
      <c r="C530" s="5">
        <f t="shared" ca="1" si="0"/>
        <v>-4.5867593866280743E-3</v>
      </c>
    </row>
    <row r="531" spans="1:3" ht="13" x14ac:dyDescent="0.15">
      <c r="A531" s="3">
        <f ca="1">IFERROR(__xludf.DUMMYFUNCTION("""COMPUTED_VALUE"""),41205.6666666666)</f>
        <v>41205.666666666599</v>
      </c>
      <c r="B531" s="4">
        <f ca="1">IFERROR(__xludf.DUMMYFUNCTION("""COMPUTED_VALUE"""),340.17)</f>
        <v>340.17</v>
      </c>
      <c r="C531" s="5">
        <f t="shared" ca="1" si="0"/>
        <v>2.4724074404588571E-3</v>
      </c>
    </row>
    <row r="532" spans="1:3" ht="13" x14ac:dyDescent="0.15">
      <c r="A532" s="3">
        <f ca="1">IFERROR(__xludf.DUMMYFUNCTION("""COMPUTED_VALUE"""),41206.6666666666)</f>
        <v>41206.666666666599</v>
      </c>
      <c r="B532" s="4">
        <f ca="1">IFERROR(__xludf.DUMMYFUNCTION("""COMPUTED_VALUE"""),338.65)</f>
        <v>338.65</v>
      </c>
      <c r="C532" s="5">
        <f t="shared" ca="1" si="0"/>
        <v>-4.4783669909455436E-3</v>
      </c>
    </row>
    <row r="533" spans="1:3" ht="13" x14ac:dyDescent="0.15">
      <c r="A533" s="3">
        <f ca="1">IFERROR(__xludf.DUMMYFUNCTION("""COMPUTED_VALUE"""),41207.6666666666)</f>
        <v>41207.666666666599</v>
      </c>
      <c r="B533" s="4">
        <f ca="1">IFERROR(__xludf.DUMMYFUNCTION("""COMPUTED_VALUE"""),338.88)</f>
        <v>338.88</v>
      </c>
      <c r="C533" s="5">
        <f t="shared" ca="1" si="0"/>
        <v>6.7893675212901987E-4</v>
      </c>
    </row>
    <row r="534" spans="1:3" ht="13" x14ac:dyDescent="0.15">
      <c r="A534" s="3">
        <f ca="1">IFERROR(__xludf.DUMMYFUNCTION("""COMPUTED_VALUE"""),41208.6666666666)</f>
        <v>41208.666666666599</v>
      </c>
      <c r="B534" s="4">
        <f ca="1">IFERROR(__xludf.DUMMYFUNCTION("""COMPUTED_VALUE"""),337.57)</f>
        <v>337.57</v>
      </c>
      <c r="C534" s="5">
        <f t="shared" ca="1" si="0"/>
        <v>-3.8731661989924652E-3</v>
      </c>
    </row>
    <row r="535" spans="1:3" ht="13" x14ac:dyDescent="0.15">
      <c r="A535" s="3">
        <f ca="1">IFERROR(__xludf.DUMMYFUNCTION("""COMPUTED_VALUE"""),41213.6666666666)</f>
        <v>41213.666666666599</v>
      </c>
      <c r="B535" s="4">
        <f ca="1">IFERROR(__xludf.DUMMYFUNCTION("""COMPUTED_VALUE"""),340.14)</f>
        <v>340.14</v>
      </c>
      <c r="C535" s="5">
        <f t="shared" ca="1" si="0"/>
        <v>7.5844013502179928E-3</v>
      </c>
    </row>
    <row r="536" spans="1:3" ht="13" x14ac:dyDescent="0.15">
      <c r="A536" s="3">
        <f ca="1">IFERROR(__xludf.DUMMYFUNCTION("""COMPUTED_VALUE"""),41214.6666666666)</f>
        <v>41214.666666666599</v>
      </c>
      <c r="B536" s="4">
        <f ca="1">IFERROR(__xludf.DUMMYFUNCTION("""COMPUTED_VALUE"""),343.79)</f>
        <v>343.79</v>
      </c>
      <c r="C536" s="5">
        <f t="shared" ca="1" si="0"/>
        <v>1.0673708283154677E-2</v>
      </c>
    </row>
    <row r="537" spans="1:3" ht="13" x14ac:dyDescent="0.15">
      <c r="A537" s="3">
        <f ca="1">IFERROR(__xludf.DUMMYFUNCTION("""COMPUTED_VALUE"""),41215.6666666666)</f>
        <v>41215.666666666599</v>
      </c>
      <c r="B537" s="4">
        <f ca="1">IFERROR(__xludf.DUMMYFUNCTION("""COMPUTED_VALUE"""),343.95)</f>
        <v>343.95</v>
      </c>
      <c r="C537" s="5">
        <f t="shared" ca="1" si="0"/>
        <v>4.6529212460122904E-4</v>
      </c>
    </row>
    <row r="538" spans="1:3" ht="13" x14ac:dyDescent="0.15">
      <c r="A538" s="3">
        <f ca="1">IFERROR(__xludf.DUMMYFUNCTION("""COMPUTED_VALUE"""),41218.6666666666)</f>
        <v>41218.666666666599</v>
      </c>
      <c r="B538" s="4">
        <f ca="1">IFERROR(__xludf.DUMMYFUNCTION("""COMPUTED_VALUE"""),341.48)</f>
        <v>341.48</v>
      </c>
      <c r="C538" s="5">
        <f t="shared" ca="1" si="0"/>
        <v>-7.2071858299173905E-3</v>
      </c>
    </row>
    <row r="539" spans="1:3" ht="13" x14ac:dyDescent="0.15">
      <c r="A539" s="3">
        <f ca="1">IFERROR(__xludf.DUMMYFUNCTION("""COMPUTED_VALUE"""),41219.6666666666)</f>
        <v>41219.666666666599</v>
      </c>
      <c r="B539" s="4">
        <f ca="1">IFERROR(__xludf.DUMMYFUNCTION("""COMPUTED_VALUE"""),340.85)</f>
        <v>340.85</v>
      </c>
      <c r="C539" s="5">
        <f t="shared" ca="1" si="0"/>
        <v>-1.8466143333113426E-3</v>
      </c>
    </row>
    <row r="540" spans="1:3" ht="13" x14ac:dyDescent="0.15">
      <c r="A540" s="3">
        <f ca="1">IFERROR(__xludf.DUMMYFUNCTION("""COMPUTED_VALUE"""),41220.6666666666)</f>
        <v>41220.666666666599</v>
      </c>
      <c r="B540" s="4">
        <f ca="1">IFERROR(__xludf.DUMMYFUNCTION("""COMPUTED_VALUE"""),333.56)</f>
        <v>333.56</v>
      </c>
      <c r="C540" s="5">
        <f t="shared" ca="1" si="0"/>
        <v>-2.1619738590009766E-2</v>
      </c>
    </row>
    <row r="541" spans="1:3" ht="13" x14ac:dyDescent="0.15">
      <c r="A541" s="3">
        <f ca="1">IFERROR(__xludf.DUMMYFUNCTION("""COMPUTED_VALUE"""),41221.6666666666)</f>
        <v>41221.666666666599</v>
      </c>
      <c r="B541" s="4">
        <f ca="1">IFERROR(__xludf.DUMMYFUNCTION("""COMPUTED_VALUE"""),326.14)</f>
        <v>326.14</v>
      </c>
      <c r="C541" s="5">
        <f t="shared" ca="1" si="0"/>
        <v>-2.2496022185653521E-2</v>
      </c>
    </row>
    <row r="542" spans="1:3" ht="13" x14ac:dyDescent="0.15">
      <c r="A542" s="3">
        <f ca="1">IFERROR(__xludf.DUMMYFUNCTION("""COMPUTED_VALUE"""),41222.6666666666)</f>
        <v>41222.666666666599</v>
      </c>
      <c r="B542" s="4">
        <f ca="1">IFERROR(__xludf.DUMMYFUNCTION("""COMPUTED_VALUE"""),331.51)</f>
        <v>331.51</v>
      </c>
      <c r="C542" s="5">
        <f t="shared" ca="1" si="0"/>
        <v>1.6331238050322976E-2</v>
      </c>
    </row>
    <row r="543" spans="1:3" ht="13" x14ac:dyDescent="0.15">
      <c r="A543" s="3">
        <f ca="1">IFERROR(__xludf.DUMMYFUNCTION("""COMPUTED_VALUE"""),41225.6666666666)</f>
        <v>41225.666666666599</v>
      </c>
      <c r="B543" s="4">
        <f ca="1">IFERROR(__xludf.DUMMYFUNCTION("""COMPUTED_VALUE"""),332.95)</f>
        <v>332.95</v>
      </c>
      <c r="C543" s="5">
        <f t="shared" ca="1" si="0"/>
        <v>4.3343534731772526E-3</v>
      </c>
    </row>
    <row r="544" spans="1:3" ht="13" x14ac:dyDescent="0.15">
      <c r="A544" s="3">
        <f ca="1">IFERROR(__xludf.DUMMYFUNCTION("""COMPUTED_VALUE"""),41226.6666666666)</f>
        <v>41226.666666666599</v>
      </c>
      <c r="B544" s="4">
        <f ca="1">IFERROR(__xludf.DUMMYFUNCTION("""COMPUTED_VALUE"""),329.52)</f>
        <v>329.52</v>
      </c>
      <c r="C544" s="5">
        <f t="shared" ca="1" si="0"/>
        <v>-1.0355278428806049E-2</v>
      </c>
    </row>
    <row r="545" spans="1:3" ht="13" x14ac:dyDescent="0.15">
      <c r="A545" s="3">
        <f ca="1">IFERROR(__xludf.DUMMYFUNCTION("""COMPUTED_VALUE"""),41227.6666666666)</f>
        <v>41227.666666666599</v>
      </c>
      <c r="B545" s="4">
        <f ca="1">IFERROR(__xludf.DUMMYFUNCTION("""COMPUTED_VALUE"""),326.27)</f>
        <v>326.27</v>
      </c>
      <c r="C545" s="5">
        <f t="shared" ca="1" si="0"/>
        <v>-9.9117906878624443E-3</v>
      </c>
    </row>
    <row r="546" spans="1:3" ht="13" x14ac:dyDescent="0.15">
      <c r="A546" s="3">
        <f ca="1">IFERROR(__xludf.DUMMYFUNCTION("""COMPUTED_VALUE"""),41228.6666666666)</f>
        <v>41228.666666666599</v>
      </c>
      <c r="B546" s="4">
        <f ca="1">IFERROR(__xludf.DUMMYFUNCTION("""COMPUTED_VALUE"""),323.63)</f>
        <v>323.63</v>
      </c>
      <c r="C546" s="5">
        <f t="shared" ca="1" si="0"/>
        <v>-8.1243715069233592E-3</v>
      </c>
    </row>
    <row r="547" spans="1:3" ht="13" x14ac:dyDescent="0.15">
      <c r="A547" s="3">
        <f ca="1">IFERROR(__xludf.DUMMYFUNCTION("""COMPUTED_VALUE"""),41229.6666666666)</f>
        <v>41229.666666666599</v>
      </c>
      <c r="B547" s="4">
        <f ca="1">IFERROR(__xludf.DUMMYFUNCTION("""COMPUTED_VALUE"""),323.58)</f>
        <v>323.58</v>
      </c>
      <c r="C547" s="5">
        <f t="shared" ca="1" si="0"/>
        <v>-1.5450935584892703E-4</v>
      </c>
    </row>
    <row r="548" spans="1:3" ht="13" x14ac:dyDescent="0.15">
      <c r="A548" s="3">
        <f ca="1">IFERROR(__xludf.DUMMYFUNCTION("""COMPUTED_VALUE"""),41232.6666666666)</f>
        <v>41232.666666666599</v>
      </c>
      <c r="B548" s="4">
        <f ca="1">IFERROR(__xludf.DUMMYFUNCTION("""COMPUTED_VALUE"""),334.1)</f>
        <v>334.1</v>
      </c>
      <c r="C548" s="5">
        <f t="shared" ca="1" si="0"/>
        <v>3.199397078552034E-2</v>
      </c>
    </row>
    <row r="549" spans="1:3" ht="13" x14ac:dyDescent="0.15">
      <c r="A549" s="3">
        <f ca="1">IFERROR(__xludf.DUMMYFUNCTION("""COMPUTED_VALUE"""),41233.6666666666)</f>
        <v>41233.666666666599</v>
      </c>
      <c r="B549" s="4">
        <f ca="1">IFERROR(__xludf.DUMMYFUNCTION("""COMPUTED_VALUE"""),334.98)</f>
        <v>334.98</v>
      </c>
      <c r="C549" s="5">
        <f t="shared" ca="1" si="0"/>
        <v>2.6304791876132216E-3</v>
      </c>
    </row>
    <row r="550" spans="1:3" ht="13" x14ac:dyDescent="0.15">
      <c r="A550" s="3">
        <f ca="1">IFERROR(__xludf.DUMMYFUNCTION("""COMPUTED_VALUE"""),41234.6666666666)</f>
        <v>41234.666666666599</v>
      </c>
      <c r="B550" s="4">
        <f ca="1">IFERROR(__xludf.DUMMYFUNCTION("""COMPUTED_VALUE"""),332.93)</f>
        <v>332.93</v>
      </c>
      <c r="C550" s="5">
        <f t="shared" ca="1" si="0"/>
        <v>-6.1385708773534749E-3</v>
      </c>
    </row>
    <row r="551" spans="1:3" ht="13" x14ac:dyDescent="0.15">
      <c r="A551" s="3">
        <f ca="1">IFERROR(__xludf.DUMMYFUNCTION("""COMPUTED_VALUE"""),41236.6666666666)</f>
        <v>41236.666666666599</v>
      </c>
      <c r="B551" s="4">
        <f ca="1">IFERROR(__xludf.DUMMYFUNCTION("""COMPUTED_VALUE"""),333.98)</f>
        <v>333.98</v>
      </c>
      <c r="C551" s="5">
        <f t="shared" ca="1" si="0"/>
        <v>3.1488532713157607E-3</v>
      </c>
    </row>
    <row r="552" spans="1:3" ht="13" x14ac:dyDescent="0.15">
      <c r="A552" s="3">
        <f ca="1">IFERROR(__xludf.DUMMYFUNCTION("""COMPUTED_VALUE"""),41239.6666666666)</f>
        <v>41239.666666666599</v>
      </c>
      <c r="B552" s="4">
        <f ca="1">IFERROR(__xludf.DUMMYFUNCTION("""COMPUTED_VALUE"""),330.57)</f>
        <v>330.57</v>
      </c>
      <c r="C552" s="5">
        <f t="shared" ca="1" si="0"/>
        <v>-1.0262673776491081E-2</v>
      </c>
    </row>
    <row r="553" spans="1:3" ht="13" x14ac:dyDescent="0.15">
      <c r="A553" s="3">
        <f ca="1">IFERROR(__xludf.DUMMYFUNCTION("""COMPUTED_VALUE"""),41240.6666666666)</f>
        <v>41240.666666666599</v>
      </c>
      <c r="B553" s="4">
        <f ca="1">IFERROR(__xludf.DUMMYFUNCTION("""COMPUTED_VALUE"""),335.35)</f>
        <v>335.35</v>
      </c>
      <c r="C553" s="5">
        <f t="shared" ca="1" si="0"/>
        <v>1.4356325377950974E-2</v>
      </c>
    </row>
    <row r="554" spans="1:3" ht="13" x14ac:dyDescent="0.15">
      <c r="A554" s="3">
        <f ca="1">IFERROR(__xludf.DUMMYFUNCTION("""COMPUTED_VALUE"""),41241.6666666666)</f>
        <v>41241.666666666599</v>
      </c>
      <c r="B554" s="4">
        <f ca="1">IFERROR(__xludf.DUMMYFUNCTION("""COMPUTED_VALUE"""),341.83)</f>
        <v>341.83</v>
      </c>
      <c r="C554" s="5">
        <f t="shared" ca="1" si="0"/>
        <v>1.9138774910225184E-2</v>
      </c>
    </row>
    <row r="555" spans="1:3" ht="13" x14ac:dyDescent="0.15">
      <c r="A555" s="3">
        <f ca="1">IFERROR(__xludf.DUMMYFUNCTION("""COMPUTED_VALUE"""),41242.6666666666)</f>
        <v>41242.666666666599</v>
      </c>
      <c r="B555" s="4">
        <f ca="1">IFERROR(__xludf.DUMMYFUNCTION("""COMPUTED_VALUE"""),345.94)</f>
        <v>345.94</v>
      </c>
      <c r="C555" s="5">
        <f t="shared" ca="1" si="0"/>
        <v>1.1951812159805751E-2</v>
      </c>
    </row>
    <row r="556" spans="1:3" ht="13" x14ac:dyDescent="0.15">
      <c r="A556" s="3">
        <f ca="1">IFERROR(__xludf.DUMMYFUNCTION("""COMPUTED_VALUE"""),41243.6666666666)</f>
        <v>41243.666666666599</v>
      </c>
      <c r="B556" s="4">
        <f ca="1">IFERROR(__xludf.DUMMYFUNCTION("""COMPUTED_VALUE"""),349.18)</f>
        <v>349.18</v>
      </c>
      <c r="C556" s="5">
        <f t="shared" ca="1" si="0"/>
        <v>9.3221989408509807E-3</v>
      </c>
    </row>
    <row r="557" spans="1:3" ht="13" x14ac:dyDescent="0.15">
      <c r="A557" s="3">
        <f ca="1">IFERROR(__xludf.DUMMYFUNCTION("""COMPUTED_VALUE"""),41246.6666666666)</f>
        <v>41246.666666666599</v>
      </c>
      <c r="B557" s="4">
        <f ca="1">IFERROR(__xludf.DUMMYFUNCTION("""COMPUTED_VALUE"""),347.62)</f>
        <v>347.62</v>
      </c>
      <c r="C557" s="5">
        <f t="shared" ca="1" si="0"/>
        <v>-4.4776194212943878E-3</v>
      </c>
    </row>
    <row r="558" spans="1:3" ht="13" x14ac:dyDescent="0.15">
      <c r="A558" s="3">
        <f ca="1">IFERROR(__xludf.DUMMYFUNCTION("""COMPUTED_VALUE"""),41247.6666666666)</f>
        <v>41247.666666666599</v>
      </c>
      <c r="B558" s="4">
        <f ca="1">IFERROR(__xludf.DUMMYFUNCTION("""COMPUTED_VALUE"""),345.51)</f>
        <v>345.51</v>
      </c>
      <c r="C558" s="5">
        <f t="shared" ca="1" si="0"/>
        <v>-6.0883427864081817E-3</v>
      </c>
    </row>
    <row r="559" spans="1:3" ht="13" x14ac:dyDescent="0.15">
      <c r="A559" s="3">
        <f ca="1">IFERROR(__xludf.DUMMYFUNCTION("""COMPUTED_VALUE"""),41248.6666666666)</f>
        <v>41248.666666666599</v>
      </c>
      <c r="B559" s="4">
        <f ca="1">IFERROR(__xludf.DUMMYFUNCTION("""COMPUTED_VALUE"""),343.91)</f>
        <v>343.91</v>
      </c>
      <c r="C559" s="5">
        <f t="shared" ca="1" si="0"/>
        <v>-4.6415911130554379E-3</v>
      </c>
    </row>
    <row r="560" spans="1:3" ht="13" x14ac:dyDescent="0.15">
      <c r="A560" s="3">
        <f ca="1">IFERROR(__xludf.DUMMYFUNCTION("""COMPUTED_VALUE"""),41249.6666666666)</f>
        <v>41249.666666666599</v>
      </c>
      <c r="B560" s="4">
        <f ca="1">IFERROR(__xludf.DUMMYFUNCTION("""COMPUTED_VALUE"""),345.56)</f>
        <v>345.56</v>
      </c>
      <c r="C560" s="5">
        <f t="shared" ca="1" si="0"/>
        <v>4.7862942548131679E-3</v>
      </c>
    </row>
    <row r="561" spans="1:3" ht="13" x14ac:dyDescent="0.15">
      <c r="A561" s="3">
        <f ca="1">IFERROR(__xludf.DUMMYFUNCTION("""COMPUTED_VALUE"""),41250.6666666666)</f>
        <v>41250.666666666599</v>
      </c>
      <c r="B561" s="4">
        <f ca="1">IFERROR(__xludf.DUMMYFUNCTION("""COMPUTED_VALUE"""),342.1)</f>
        <v>342.1</v>
      </c>
      <c r="C561" s="5">
        <f t="shared" ca="1" si="0"/>
        <v>-1.0063197507124384E-2</v>
      </c>
    </row>
    <row r="562" spans="1:3" ht="13" x14ac:dyDescent="0.15">
      <c r="A562" s="3">
        <f ca="1">IFERROR(__xludf.DUMMYFUNCTION("""COMPUTED_VALUE"""),41253.6666666666)</f>
        <v>41253.666666666599</v>
      </c>
      <c r="B562" s="4">
        <f ca="1">IFERROR(__xludf.DUMMYFUNCTION("""COMPUTED_VALUE"""),342.7)</f>
        <v>342.7</v>
      </c>
      <c r="C562" s="5">
        <f t="shared" ca="1" si="0"/>
        <v>1.7523368970040151E-3</v>
      </c>
    </row>
    <row r="563" spans="1:3" ht="13" x14ac:dyDescent="0.15">
      <c r="A563" s="3">
        <f ca="1">IFERROR(__xludf.DUMMYFUNCTION("""COMPUTED_VALUE"""),41254.6666666666)</f>
        <v>41254.666666666599</v>
      </c>
      <c r="B563" s="4">
        <f ca="1">IFERROR(__xludf.DUMMYFUNCTION("""COMPUTED_VALUE"""),348.44)</f>
        <v>348.44</v>
      </c>
      <c r="C563" s="5">
        <f t="shared" ca="1" si="0"/>
        <v>1.6610620070128139E-2</v>
      </c>
    </row>
    <row r="564" spans="1:3" ht="13" x14ac:dyDescent="0.15">
      <c r="A564" s="3">
        <f ca="1">IFERROR(__xludf.DUMMYFUNCTION("""COMPUTED_VALUE"""),41255.6666666666)</f>
        <v>41255.666666666599</v>
      </c>
      <c r="B564" s="4">
        <f ca="1">IFERROR(__xludf.DUMMYFUNCTION("""COMPUTED_VALUE"""),348.78)</f>
        <v>348.78</v>
      </c>
      <c r="C564" s="5">
        <f t="shared" ca="1" si="0"/>
        <v>9.7530199062289288E-4</v>
      </c>
    </row>
    <row r="565" spans="1:3" ht="13" x14ac:dyDescent="0.15">
      <c r="A565" s="3">
        <f ca="1">IFERROR(__xludf.DUMMYFUNCTION("""COMPUTED_VALUE"""),41256.6666666666)</f>
        <v>41256.666666666599</v>
      </c>
      <c r="B565" s="4">
        <f ca="1">IFERROR(__xludf.DUMMYFUNCTION("""COMPUTED_VALUE"""),351.35)</f>
        <v>351.35</v>
      </c>
      <c r="C565" s="5">
        <f t="shared" ca="1" si="0"/>
        <v>7.341526696892667E-3</v>
      </c>
    </row>
    <row r="566" spans="1:3" ht="13" x14ac:dyDescent="0.15">
      <c r="A566" s="3">
        <f ca="1">IFERROR(__xludf.DUMMYFUNCTION("""COMPUTED_VALUE"""),41257.6666666666)</f>
        <v>41257.666666666599</v>
      </c>
      <c r="B566" s="4">
        <f ca="1">IFERROR(__xludf.DUMMYFUNCTION("""COMPUTED_VALUE"""),350.98)</f>
        <v>350.98</v>
      </c>
      <c r="C566" s="5">
        <f t="shared" ca="1" si="0"/>
        <v>-1.0536358527461339E-3</v>
      </c>
    </row>
    <row r="567" spans="1:3" ht="13" x14ac:dyDescent="0.15">
      <c r="A567" s="3">
        <f ca="1">IFERROR(__xludf.DUMMYFUNCTION("""COMPUTED_VALUE"""),41260.6666666666)</f>
        <v>41260.666666666599</v>
      </c>
      <c r="B567" s="4">
        <f ca="1">IFERROR(__xludf.DUMMYFUNCTION("""COMPUTED_VALUE"""),360.39)</f>
        <v>360.39</v>
      </c>
      <c r="C567" s="5">
        <f t="shared" ca="1" si="0"/>
        <v>2.6457536615932659E-2</v>
      </c>
    </row>
    <row r="568" spans="1:3" ht="13" x14ac:dyDescent="0.15">
      <c r="A568" s="3">
        <f ca="1">IFERROR(__xludf.DUMMYFUNCTION("""COMPUTED_VALUE"""),41261.6666666666)</f>
        <v>41261.666666666599</v>
      </c>
      <c r="B568" s="4">
        <f ca="1">IFERROR(__xludf.DUMMYFUNCTION("""COMPUTED_VALUE"""),360.53)</f>
        <v>360.53</v>
      </c>
      <c r="C568" s="5">
        <f t="shared" ca="1" si="0"/>
        <v>3.8839261432575801E-4</v>
      </c>
    </row>
    <row r="569" spans="1:3" ht="13" x14ac:dyDescent="0.15">
      <c r="A569" s="3">
        <f ca="1">IFERROR(__xludf.DUMMYFUNCTION("""COMPUTED_VALUE"""),41262.6666666666)</f>
        <v>41262.666666666599</v>
      </c>
      <c r="B569" s="4">
        <f ca="1">IFERROR(__xludf.DUMMYFUNCTION("""COMPUTED_VALUE"""),360.05)</f>
        <v>360.05</v>
      </c>
      <c r="C569" s="5">
        <f t="shared" ca="1" si="0"/>
        <v>-1.3322603208433719E-3</v>
      </c>
    </row>
    <row r="570" spans="1:3" ht="13" x14ac:dyDescent="0.15">
      <c r="A570" s="3">
        <f ca="1">IFERROR(__xludf.DUMMYFUNCTION("""COMPUTED_VALUE"""),41263.6666666666)</f>
        <v>41263.666666666599</v>
      </c>
      <c r="B570" s="4">
        <f ca="1">IFERROR(__xludf.DUMMYFUNCTION("""COMPUTED_VALUE"""),361.18)</f>
        <v>361.18</v>
      </c>
      <c r="C570" s="5">
        <f t="shared" ca="1" si="0"/>
        <v>3.1335383293214E-3</v>
      </c>
    </row>
    <row r="571" spans="1:3" ht="13" x14ac:dyDescent="0.15">
      <c r="A571" s="3">
        <f ca="1">IFERROR(__xludf.DUMMYFUNCTION("""COMPUTED_VALUE"""),41264.6666666666)</f>
        <v>41264.666666666599</v>
      </c>
      <c r="B571" s="4">
        <f ca="1">IFERROR(__xludf.DUMMYFUNCTION("""COMPUTED_VALUE"""),357.81)</f>
        <v>357.81</v>
      </c>
      <c r="C571" s="5">
        <f t="shared" ca="1" si="0"/>
        <v>-9.3743297655098437E-3</v>
      </c>
    </row>
    <row r="572" spans="1:3" ht="13" x14ac:dyDescent="0.15">
      <c r="A572" s="3">
        <f ca="1">IFERROR(__xludf.DUMMYFUNCTION("""COMPUTED_VALUE"""),41267.6666666666)</f>
        <v>41267.666666666599</v>
      </c>
      <c r="B572" s="4">
        <f ca="1">IFERROR(__xludf.DUMMYFUNCTION("""COMPUTED_VALUE"""),354.75)</f>
        <v>354.75</v>
      </c>
      <c r="C572" s="5">
        <f t="shared" ca="1" si="0"/>
        <v>-8.5888032185352705E-3</v>
      </c>
    </row>
    <row r="573" spans="1:3" ht="13" x14ac:dyDescent="0.15">
      <c r="A573" s="3">
        <f ca="1">IFERROR(__xludf.DUMMYFUNCTION("""COMPUTED_VALUE"""),41269.6666666666)</f>
        <v>41269.666666666599</v>
      </c>
      <c r="B573" s="4">
        <f ca="1">IFERROR(__xludf.DUMMYFUNCTION("""COMPUTED_VALUE"""),354.43)</f>
        <v>354.43</v>
      </c>
      <c r="C573" s="5">
        <f t="shared" ca="1" si="0"/>
        <v>-9.0245077897798298E-4</v>
      </c>
    </row>
    <row r="574" spans="1:3" ht="13" x14ac:dyDescent="0.15">
      <c r="A574" s="3">
        <f ca="1">IFERROR(__xludf.DUMMYFUNCTION("""COMPUTED_VALUE"""),41270.6666666666)</f>
        <v>41270.666666666599</v>
      </c>
      <c r="B574" s="4">
        <f ca="1">IFERROR(__xludf.DUMMYFUNCTION("""COMPUTED_VALUE"""),353.14)</f>
        <v>353.14</v>
      </c>
      <c r="C574" s="5">
        <f t="shared" ca="1" si="0"/>
        <v>-3.6462863865219636E-3</v>
      </c>
    </row>
    <row r="575" spans="1:3" ht="13" x14ac:dyDescent="0.15">
      <c r="A575" s="3">
        <f ca="1">IFERROR(__xludf.DUMMYFUNCTION("""COMPUTED_VALUE"""),41271.6666666666)</f>
        <v>41271.666666666599</v>
      </c>
      <c r="B575" s="4">
        <f ca="1">IFERROR(__xludf.DUMMYFUNCTION("""COMPUTED_VALUE"""),350)</f>
        <v>350</v>
      </c>
      <c r="C575" s="5">
        <f t="shared" ca="1" si="0"/>
        <v>-8.9314243911927972E-3</v>
      </c>
    </row>
    <row r="576" spans="1:3" ht="13" x14ac:dyDescent="0.15">
      <c r="A576" s="3">
        <f ca="1">IFERROR(__xludf.DUMMYFUNCTION("""COMPUTED_VALUE"""),41274.6666666666)</f>
        <v>41274.666666666599</v>
      </c>
      <c r="B576" s="4">
        <f ca="1">IFERROR(__xludf.DUMMYFUNCTION("""COMPUTED_VALUE"""),353.69)</f>
        <v>353.69</v>
      </c>
      <c r="C576" s="5">
        <f t="shared" ca="1" si="0"/>
        <v>1.0487668780943097E-2</v>
      </c>
    </row>
    <row r="577" spans="1:3" ht="13" x14ac:dyDescent="0.15">
      <c r="A577" s="3">
        <f ca="1">IFERROR(__xludf.DUMMYFUNCTION("""COMPUTED_VALUE"""),41276.6666666666)</f>
        <v>41276.666666666599</v>
      </c>
      <c r="B577" s="4">
        <f ca="1">IFERROR(__xludf.DUMMYFUNCTION("""COMPUTED_VALUE"""),361.62)</f>
        <v>361.62</v>
      </c>
      <c r="C577" s="5">
        <f t="shared" ca="1" si="0"/>
        <v>2.2173113458605311E-2</v>
      </c>
    </row>
    <row r="578" spans="1:3" ht="13" x14ac:dyDescent="0.15">
      <c r="A578" s="3">
        <f ca="1">IFERROR(__xludf.DUMMYFUNCTION("""COMPUTED_VALUE"""),41277.6666666666)</f>
        <v>41277.666666666599</v>
      </c>
      <c r="B578" s="4">
        <f ca="1">IFERROR(__xludf.DUMMYFUNCTION("""COMPUTED_VALUE"""),361.83)</f>
        <v>361.83</v>
      </c>
      <c r="C578" s="5">
        <f t="shared" ca="1" si="0"/>
        <v>5.8055154025339606E-4</v>
      </c>
    </row>
    <row r="579" spans="1:3" ht="13" x14ac:dyDescent="0.15">
      <c r="A579" s="3">
        <f ca="1">IFERROR(__xludf.DUMMYFUNCTION("""COMPUTED_VALUE"""),41278.6666666666)</f>
        <v>41278.666666666599</v>
      </c>
      <c r="B579" s="4">
        <f ca="1">IFERROR(__xludf.DUMMYFUNCTION("""COMPUTED_VALUE"""),368.98)</f>
        <v>368.98</v>
      </c>
      <c r="C579" s="5">
        <f t="shared" ca="1" si="0"/>
        <v>1.9567953766358101E-2</v>
      </c>
    </row>
    <row r="580" spans="1:3" ht="13" x14ac:dyDescent="0.15">
      <c r="A580" s="3">
        <f ca="1">IFERROR(__xludf.DUMMYFUNCTION("""COMPUTED_VALUE"""),41281.6666666666)</f>
        <v>41281.666666666599</v>
      </c>
      <c r="B580" s="4">
        <f ca="1">IFERROR(__xludf.DUMMYFUNCTION("""COMPUTED_VALUE"""),367.37)</f>
        <v>367.37</v>
      </c>
      <c r="C580" s="5">
        <f t="shared" ca="1" si="0"/>
        <v>-4.3729274546086237E-3</v>
      </c>
    </row>
    <row r="581" spans="1:3" ht="13" x14ac:dyDescent="0.15">
      <c r="A581" s="3">
        <f ca="1">IFERROR(__xludf.DUMMYFUNCTION("""COMPUTED_VALUE"""),41282.6666666666)</f>
        <v>41282.666666666599</v>
      </c>
      <c r="B581" s="4">
        <f ca="1">IFERROR(__xludf.DUMMYFUNCTION("""COMPUTED_VALUE"""),366.65)</f>
        <v>366.65</v>
      </c>
      <c r="C581" s="5">
        <f t="shared" ca="1" si="0"/>
        <v>-1.9618000352022353E-3</v>
      </c>
    </row>
    <row r="582" spans="1:3" ht="13" x14ac:dyDescent="0.15">
      <c r="A582" s="3">
        <f ca="1">IFERROR(__xludf.DUMMYFUNCTION("""COMPUTED_VALUE"""),41283.6666666666)</f>
        <v>41283.666666666599</v>
      </c>
      <c r="B582" s="4">
        <f ca="1">IFERROR(__xludf.DUMMYFUNCTION("""COMPUTED_VALUE"""),369.05)</f>
        <v>369.05</v>
      </c>
      <c r="C582" s="5">
        <f t="shared" ca="1" si="0"/>
        <v>6.524421676252984E-3</v>
      </c>
    </row>
    <row r="583" spans="1:3" ht="13" x14ac:dyDescent="0.15">
      <c r="A583" s="3">
        <f ca="1">IFERROR(__xludf.DUMMYFUNCTION("""COMPUTED_VALUE"""),41284.6666666666)</f>
        <v>41284.666666666599</v>
      </c>
      <c r="B583" s="4">
        <f ca="1">IFERROR(__xludf.DUMMYFUNCTION("""COMPUTED_VALUE"""),370.73)</f>
        <v>370.73</v>
      </c>
      <c r="C583" s="5">
        <f t="shared" ca="1" si="0"/>
        <v>4.5418986402365269E-3</v>
      </c>
    </row>
    <row r="584" spans="1:3" ht="13" x14ac:dyDescent="0.15">
      <c r="A584" s="3">
        <f ca="1">IFERROR(__xludf.DUMMYFUNCTION("""COMPUTED_VALUE"""),41285.6666666666)</f>
        <v>41285.666666666599</v>
      </c>
      <c r="B584" s="4">
        <f ca="1">IFERROR(__xludf.DUMMYFUNCTION("""COMPUTED_VALUE"""),369.99)</f>
        <v>369.99</v>
      </c>
      <c r="C584" s="5">
        <f t="shared" ca="1" si="0"/>
        <v>-1.998056610291391E-3</v>
      </c>
    </row>
    <row r="585" spans="1:3" ht="13" x14ac:dyDescent="0.15">
      <c r="A585" s="3">
        <f ca="1">IFERROR(__xludf.DUMMYFUNCTION("""COMPUTED_VALUE"""),41288.6666666666)</f>
        <v>41288.666666666599</v>
      </c>
      <c r="B585" s="4">
        <f ca="1">IFERROR(__xludf.DUMMYFUNCTION("""COMPUTED_VALUE"""),361.62)</f>
        <v>361.62</v>
      </c>
      <c r="C585" s="5">
        <f t="shared" ca="1" si="0"/>
        <v>-2.2882041522998685E-2</v>
      </c>
    </row>
    <row r="586" spans="1:3" ht="13" x14ac:dyDescent="0.15">
      <c r="A586" s="3">
        <f ca="1">IFERROR(__xludf.DUMMYFUNCTION("""COMPUTED_VALUE"""),41289.6666666666)</f>
        <v>41289.666666666599</v>
      </c>
      <c r="B586" s="4">
        <f ca="1">IFERROR(__xludf.DUMMYFUNCTION("""COMPUTED_VALUE"""),362.46)</f>
        <v>362.46</v>
      </c>
      <c r="C586" s="5">
        <f t="shared" ca="1" si="0"/>
        <v>2.3201866556971261E-3</v>
      </c>
    </row>
    <row r="587" spans="1:3" ht="13" x14ac:dyDescent="0.15">
      <c r="A587" s="3">
        <f ca="1">IFERROR(__xludf.DUMMYFUNCTION("""COMPUTED_VALUE"""),41290.6666666666)</f>
        <v>41290.666666666599</v>
      </c>
      <c r="B587" s="4">
        <f ca="1">IFERROR(__xludf.DUMMYFUNCTION("""COMPUTED_VALUE"""),357.59)</f>
        <v>357.59</v>
      </c>
      <c r="C587" s="5">
        <f t="shared" ca="1" si="0"/>
        <v>-1.3527044676168077E-2</v>
      </c>
    </row>
    <row r="588" spans="1:3" ht="13" x14ac:dyDescent="0.15">
      <c r="A588" s="3">
        <f ca="1">IFERROR(__xludf.DUMMYFUNCTION("""COMPUTED_VALUE"""),41291.6666666666)</f>
        <v>41291.666666666599</v>
      </c>
      <c r="B588" s="4">
        <f ca="1">IFERROR(__xludf.DUMMYFUNCTION("""COMPUTED_VALUE"""),355.66)</f>
        <v>355.66</v>
      </c>
      <c r="C588" s="5">
        <f t="shared" ca="1" si="0"/>
        <v>-5.4118603870221419E-3</v>
      </c>
    </row>
    <row r="589" spans="1:3" ht="13" x14ac:dyDescent="0.15">
      <c r="A589" s="3">
        <f ca="1">IFERROR(__xludf.DUMMYFUNCTION("""COMPUTED_VALUE"""),41292.6666666666)</f>
        <v>41292.666666666599</v>
      </c>
      <c r="B589" s="4">
        <f ca="1">IFERROR(__xludf.DUMMYFUNCTION("""COMPUTED_VALUE"""),352.25)</f>
        <v>352.25</v>
      </c>
      <c r="C589" s="5">
        <f t="shared" ca="1" si="0"/>
        <v>-9.6340675367250148E-3</v>
      </c>
    </row>
    <row r="590" spans="1:3" ht="13" x14ac:dyDescent="0.15">
      <c r="A590" s="3">
        <f ca="1">IFERROR(__xludf.DUMMYFUNCTION("""COMPUTED_VALUE"""),41296.6666666666)</f>
        <v>41296.666666666599</v>
      </c>
      <c r="B590" s="4">
        <f ca="1">IFERROR(__xludf.DUMMYFUNCTION("""COMPUTED_VALUE"""),351.43)</f>
        <v>351.43</v>
      </c>
      <c r="C590" s="5">
        <f t="shared" ca="1" si="0"/>
        <v>-2.3306058753062775E-3</v>
      </c>
    </row>
    <row r="591" spans="1:3" ht="13" x14ac:dyDescent="0.15">
      <c r="A591" s="3">
        <f ca="1">IFERROR(__xludf.DUMMYFUNCTION("""COMPUTED_VALUE"""),41297.6666666666)</f>
        <v>41297.666666666599</v>
      </c>
      <c r="B591" s="4">
        <f ca="1">IFERROR(__xludf.DUMMYFUNCTION("""COMPUTED_VALUE"""),370.75)</f>
        <v>370.75</v>
      </c>
      <c r="C591" s="5">
        <f t="shared" ca="1" si="0"/>
        <v>5.3517436114558094E-2</v>
      </c>
    </row>
    <row r="592" spans="1:3" ht="13" x14ac:dyDescent="0.15">
      <c r="A592" s="3">
        <f ca="1">IFERROR(__xludf.DUMMYFUNCTION("""COMPUTED_VALUE"""),41298.6666666666)</f>
        <v>41298.666666666599</v>
      </c>
      <c r="B592" s="4">
        <f ca="1">IFERROR(__xludf.DUMMYFUNCTION("""COMPUTED_VALUE"""),376.91)</f>
        <v>376.91</v>
      </c>
      <c r="C592" s="5">
        <f t="shared" ca="1" si="0"/>
        <v>1.647845113974241E-2</v>
      </c>
    </row>
    <row r="593" spans="1:3" ht="13" x14ac:dyDescent="0.15">
      <c r="A593" s="3">
        <f ca="1">IFERROR(__xludf.DUMMYFUNCTION("""COMPUTED_VALUE"""),41299.6666666666)</f>
        <v>41299.666666666599</v>
      </c>
      <c r="B593" s="4">
        <f ca="1">IFERROR(__xludf.DUMMYFUNCTION("""COMPUTED_VALUE"""),376.83)</f>
        <v>376.83</v>
      </c>
      <c r="C593" s="5">
        <f t="shared" ca="1" si="0"/>
        <v>-2.1227479051254088E-4</v>
      </c>
    </row>
    <row r="594" spans="1:3" ht="13" x14ac:dyDescent="0.15">
      <c r="A594" s="3">
        <f ca="1">IFERROR(__xludf.DUMMYFUNCTION("""COMPUTED_VALUE"""),41302.6666666666)</f>
        <v>41302.666666666599</v>
      </c>
      <c r="B594" s="4">
        <f ca="1">IFERROR(__xludf.DUMMYFUNCTION("""COMPUTED_VALUE"""),375.36)</f>
        <v>375.36</v>
      </c>
      <c r="C594" s="5">
        <f t="shared" ca="1" si="0"/>
        <v>-3.9085919021605905E-3</v>
      </c>
    </row>
    <row r="595" spans="1:3" ht="13" x14ac:dyDescent="0.15">
      <c r="A595" s="3">
        <f ca="1">IFERROR(__xludf.DUMMYFUNCTION("""COMPUTED_VALUE"""),41303.6666666666)</f>
        <v>41303.666666666599</v>
      </c>
      <c r="B595" s="4">
        <f ca="1">IFERROR(__xludf.DUMMYFUNCTION("""COMPUTED_VALUE"""),376.84)</f>
        <v>376.84</v>
      </c>
      <c r="C595" s="5">
        <f t="shared" ca="1" si="0"/>
        <v>3.9351287153562044E-3</v>
      </c>
    </row>
    <row r="596" spans="1:3" ht="13" x14ac:dyDescent="0.15">
      <c r="A596" s="3">
        <f ca="1">IFERROR(__xludf.DUMMYFUNCTION("""COMPUTED_VALUE"""),41304.6666666666)</f>
        <v>41304.666666666599</v>
      </c>
      <c r="B596" s="4">
        <f ca="1">IFERROR(__xludf.DUMMYFUNCTION("""COMPUTED_VALUE"""),376.91)</f>
        <v>376.91</v>
      </c>
      <c r="C596" s="5">
        <f t="shared" ca="1" si="0"/>
        <v>1.8573797731682935E-4</v>
      </c>
    </row>
    <row r="597" spans="1:3" ht="13" x14ac:dyDescent="0.15">
      <c r="A597" s="3">
        <f ca="1">IFERROR(__xludf.DUMMYFUNCTION("""COMPUTED_VALUE"""),41305.6666666666)</f>
        <v>41305.666666666599</v>
      </c>
      <c r="B597" s="4">
        <f ca="1">IFERROR(__xludf.DUMMYFUNCTION("""COMPUTED_VALUE"""),377.84)</f>
        <v>377.84</v>
      </c>
      <c r="C597" s="5">
        <f t="shared" ca="1" si="0"/>
        <v>2.4643934300777404E-3</v>
      </c>
    </row>
    <row r="598" spans="1:3" ht="13" x14ac:dyDescent="0.15">
      <c r="A598" s="3">
        <f ca="1">IFERROR(__xludf.DUMMYFUNCTION("""COMPUTED_VALUE"""),41306.6666666666)</f>
        <v>41306.666666666599</v>
      </c>
      <c r="B598" s="4">
        <f ca="1">IFERROR(__xludf.DUMMYFUNCTION("""COMPUTED_VALUE"""),387.8)</f>
        <v>387.8</v>
      </c>
      <c r="C598" s="5">
        <f t="shared" ca="1" si="0"/>
        <v>2.6018917220689747E-2</v>
      </c>
    </row>
    <row r="599" spans="1:3" ht="13" x14ac:dyDescent="0.15">
      <c r="A599" s="3">
        <f ca="1">IFERROR(__xludf.DUMMYFUNCTION("""COMPUTED_VALUE"""),41309.6666666666)</f>
        <v>41309.666666666599</v>
      </c>
      <c r="B599" s="4">
        <f ca="1">IFERROR(__xludf.DUMMYFUNCTION("""COMPUTED_VALUE"""),379.51)</f>
        <v>379.51</v>
      </c>
      <c r="C599" s="5">
        <f t="shared" ca="1" si="0"/>
        <v>-2.1608795858901145E-2</v>
      </c>
    </row>
    <row r="600" spans="1:3" ht="13" x14ac:dyDescent="0.15">
      <c r="A600" s="3">
        <f ca="1">IFERROR(__xludf.DUMMYFUNCTION("""COMPUTED_VALUE"""),41310.6666666666)</f>
        <v>41310.666666666599</v>
      </c>
      <c r="B600" s="4">
        <f ca="1">IFERROR(__xludf.DUMMYFUNCTION("""COMPUTED_VALUE"""),382.87)</f>
        <v>382.87</v>
      </c>
      <c r="C600" s="5">
        <f t="shared" ca="1" si="0"/>
        <v>8.8145590256251977E-3</v>
      </c>
    </row>
    <row r="601" spans="1:3" ht="13" x14ac:dyDescent="0.15">
      <c r="A601" s="3">
        <f ca="1">IFERROR(__xludf.DUMMYFUNCTION("""COMPUTED_VALUE"""),41311.6666666666)</f>
        <v>41311.666666666599</v>
      </c>
      <c r="B601" s="4">
        <f ca="1">IFERROR(__xludf.DUMMYFUNCTION("""COMPUTED_VALUE"""),385.08)</f>
        <v>385.08</v>
      </c>
      <c r="C601" s="5">
        <f t="shared" ca="1" si="0"/>
        <v>5.755598934490196E-3</v>
      </c>
    </row>
    <row r="602" spans="1:3" ht="13" x14ac:dyDescent="0.15">
      <c r="A602" s="3">
        <f ca="1">IFERROR(__xludf.DUMMYFUNCTION("""COMPUTED_VALUE"""),41312.6666666666)</f>
        <v>41312.666666666599</v>
      </c>
      <c r="B602" s="4">
        <f ca="1">IFERROR(__xludf.DUMMYFUNCTION("""COMPUTED_VALUE"""),386.97)</f>
        <v>386.97</v>
      </c>
      <c r="C602" s="5">
        <f t="shared" ca="1" si="0"/>
        <v>4.896065735388663E-3</v>
      </c>
    </row>
    <row r="603" spans="1:3" ht="13" x14ac:dyDescent="0.15">
      <c r="A603" s="3">
        <f ca="1">IFERROR(__xludf.DUMMYFUNCTION("""COMPUTED_VALUE"""),41313.6666666666)</f>
        <v>41313.666666666599</v>
      </c>
      <c r="B603" s="4">
        <f ca="1">IFERROR(__xludf.DUMMYFUNCTION("""COMPUTED_VALUE"""),392.68)</f>
        <v>392.68</v>
      </c>
      <c r="C603" s="5">
        <f t="shared" ca="1" si="0"/>
        <v>1.4647860179166264E-2</v>
      </c>
    </row>
    <row r="604" spans="1:3" ht="13" x14ac:dyDescent="0.15">
      <c r="A604" s="3">
        <f ca="1">IFERROR(__xludf.DUMMYFUNCTION("""COMPUTED_VALUE"""),41316.6666666666)</f>
        <v>41316.666666666599</v>
      </c>
      <c r="B604" s="4">
        <f ca="1">IFERROR(__xludf.DUMMYFUNCTION("""COMPUTED_VALUE"""),391.2)</f>
        <v>391.2</v>
      </c>
      <c r="C604" s="5">
        <f t="shared" ca="1" si="0"/>
        <v>-3.7760926636584771E-3</v>
      </c>
    </row>
    <row r="605" spans="1:3" ht="13" x14ac:dyDescent="0.15">
      <c r="A605" s="3">
        <f ca="1">IFERROR(__xludf.DUMMYFUNCTION("""COMPUTED_VALUE"""),41317.6666666666)</f>
        <v>41317.666666666599</v>
      </c>
      <c r="B605" s="4">
        <f ca="1">IFERROR(__xludf.DUMMYFUNCTION("""COMPUTED_VALUE"""),390.35)</f>
        <v>390.35</v>
      </c>
      <c r="C605" s="5">
        <f t="shared" ca="1" si="0"/>
        <v>-2.175165594362264E-3</v>
      </c>
    </row>
    <row r="606" spans="1:3" ht="13" x14ac:dyDescent="0.15">
      <c r="A606" s="3">
        <f ca="1">IFERROR(__xludf.DUMMYFUNCTION("""COMPUTED_VALUE"""),41318.6666666666)</f>
        <v>41318.666666666599</v>
      </c>
      <c r="B606" s="4">
        <f ca="1">IFERROR(__xludf.DUMMYFUNCTION("""COMPUTED_VALUE"""),391.43)</f>
        <v>391.43</v>
      </c>
      <c r="C606" s="5">
        <f t="shared" ca="1" si="0"/>
        <v>2.76292738887928E-3</v>
      </c>
    </row>
    <row r="607" spans="1:3" ht="13" x14ac:dyDescent="0.15">
      <c r="A607" s="3">
        <f ca="1">IFERROR(__xludf.DUMMYFUNCTION("""COMPUTED_VALUE"""),41319.6666666666)</f>
        <v>41319.666666666599</v>
      </c>
      <c r="B607" s="4">
        <f ca="1">IFERROR(__xludf.DUMMYFUNCTION("""COMPUTED_VALUE"""),393.91)</f>
        <v>393.91</v>
      </c>
      <c r="C607" s="5">
        <f t="shared" ca="1" si="0"/>
        <v>6.3157568535326652E-3</v>
      </c>
    </row>
    <row r="608" spans="1:3" ht="13" x14ac:dyDescent="0.15">
      <c r="A608" s="3">
        <f ca="1">IFERROR(__xludf.DUMMYFUNCTION("""COMPUTED_VALUE"""),41320.6666666666)</f>
        <v>41320.666666666599</v>
      </c>
      <c r="B608" s="4">
        <f ca="1">IFERROR(__xludf.DUMMYFUNCTION("""COMPUTED_VALUE"""),396.44)</f>
        <v>396.44</v>
      </c>
      <c r="C608" s="5">
        <f t="shared" ca="1" si="0"/>
        <v>6.4022487297956954E-3</v>
      </c>
    </row>
    <row r="609" spans="1:3" ht="13" x14ac:dyDescent="0.15">
      <c r="A609" s="3">
        <f ca="1">IFERROR(__xludf.DUMMYFUNCTION("""COMPUTED_VALUE"""),41324.6666666666)</f>
        <v>41324.666666666599</v>
      </c>
      <c r="B609" s="4">
        <f ca="1">IFERROR(__xludf.DUMMYFUNCTION("""COMPUTED_VALUE"""),403.42)</f>
        <v>403.42</v>
      </c>
      <c r="C609" s="5">
        <f t="shared" ca="1" si="0"/>
        <v>1.7453497334679022E-2</v>
      </c>
    </row>
    <row r="610" spans="1:3" ht="13" x14ac:dyDescent="0.15">
      <c r="A610" s="3">
        <f ca="1">IFERROR(__xludf.DUMMYFUNCTION("""COMPUTED_VALUE"""),41325.6666666666)</f>
        <v>41325.666666666599</v>
      </c>
      <c r="B610" s="4">
        <f ca="1">IFERROR(__xludf.DUMMYFUNCTION("""COMPUTED_VALUE"""),396.23)</f>
        <v>396.23</v>
      </c>
      <c r="C610" s="5">
        <f t="shared" ca="1" si="0"/>
        <v>-1.7983352141630281E-2</v>
      </c>
    </row>
    <row r="611" spans="1:3" ht="13" x14ac:dyDescent="0.15">
      <c r="A611" s="3">
        <f ca="1">IFERROR(__xludf.DUMMYFUNCTION("""COMPUTED_VALUE"""),41326.6666666666)</f>
        <v>41326.666666666599</v>
      </c>
      <c r="B611" s="4">
        <f ca="1">IFERROR(__xludf.DUMMYFUNCTION("""COMPUTED_VALUE"""),397.76)</f>
        <v>397.76</v>
      </c>
      <c r="C611" s="5">
        <f t="shared" ca="1" si="0"/>
        <v>3.8539575907897616E-3</v>
      </c>
    </row>
    <row r="612" spans="1:3" ht="13" x14ac:dyDescent="0.15">
      <c r="A612" s="3">
        <f ca="1">IFERROR(__xludf.DUMMYFUNCTION("""COMPUTED_VALUE"""),41327.6666666666)</f>
        <v>41327.666666666599</v>
      </c>
      <c r="B612" s="4">
        <f ca="1">IFERROR(__xludf.DUMMYFUNCTION("""COMPUTED_VALUE"""),399.85)</f>
        <v>399.85</v>
      </c>
      <c r="C612" s="5">
        <f t="shared" ca="1" si="0"/>
        <v>5.2406684555527088E-3</v>
      </c>
    </row>
    <row r="613" spans="1:3" ht="13" x14ac:dyDescent="0.15">
      <c r="A613" s="3">
        <f ca="1">IFERROR(__xludf.DUMMYFUNCTION("""COMPUTED_VALUE"""),41330.6666666666)</f>
        <v>41330.666666666599</v>
      </c>
      <c r="B613" s="4">
        <f ca="1">IFERROR(__xludf.DUMMYFUNCTION("""COMPUTED_VALUE"""),395.38)</f>
        <v>395.38</v>
      </c>
      <c r="C613" s="5">
        <f t="shared" ca="1" si="0"/>
        <v>-1.124214901010767E-2</v>
      </c>
    </row>
    <row r="614" spans="1:3" ht="13" x14ac:dyDescent="0.15">
      <c r="A614" s="3">
        <f ca="1">IFERROR(__xludf.DUMMYFUNCTION("""COMPUTED_VALUE"""),41331.6666666666)</f>
        <v>41331.666666666599</v>
      </c>
      <c r="B614" s="4">
        <f ca="1">IFERROR(__xludf.DUMMYFUNCTION("""COMPUTED_VALUE"""),395.06)</f>
        <v>395.06</v>
      </c>
      <c r="C614" s="5">
        <f t="shared" ca="1" si="0"/>
        <v>-8.0967566793680118E-4</v>
      </c>
    </row>
    <row r="615" spans="1:3" ht="13" x14ac:dyDescent="0.15">
      <c r="A615" s="3">
        <f ca="1">IFERROR(__xludf.DUMMYFUNCTION("""COMPUTED_VALUE"""),41332.6666666666)</f>
        <v>41332.666666666599</v>
      </c>
      <c r="B615" s="4">
        <f ca="1">IFERROR(__xludf.DUMMYFUNCTION("""COMPUTED_VALUE"""),399.89)</f>
        <v>399.89</v>
      </c>
      <c r="C615" s="5">
        <f t="shared" ca="1" si="0"/>
        <v>1.2151857188693774E-2</v>
      </c>
    </row>
    <row r="616" spans="1:3" ht="13" x14ac:dyDescent="0.15">
      <c r="A616" s="3">
        <f ca="1">IFERROR(__xludf.DUMMYFUNCTION("""COMPUTED_VALUE"""),41333.6666666666)</f>
        <v>41333.666666666599</v>
      </c>
      <c r="B616" s="4">
        <f ca="1">IFERROR(__xludf.DUMMYFUNCTION("""COMPUTED_VALUE"""),400.6)</f>
        <v>400.6</v>
      </c>
      <c r="C616" s="5">
        <f t="shared" ca="1" si="0"/>
        <v>1.7739139431696322E-3</v>
      </c>
    </row>
    <row r="617" spans="1:3" ht="13" x14ac:dyDescent="0.15">
      <c r="A617" s="3">
        <f ca="1">IFERROR(__xludf.DUMMYFUNCTION("""COMPUTED_VALUE"""),41334.6666666666)</f>
        <v>41334.666666666599</v>
      </c>
      <c r="B617" s="4">
        <f ca="1">IFERROR(__xludf.DUMMYFUNCTION("""COMPUTED_VALUE"""),403.09)</f>
        <v>403.09</v>
      </c>
      <c r="C617" s="5">
        <f t="shared" ca="1" si="0"/>
        <v>6.1964388436700569E-3</v>
      </c>
    </row>
    <row r="618" spans="1:3" ht="13" x14ac:dyDescent="0.15">
      <c r="A618" s="3">
        <f ca="1">IFERROR(__xludf.DUMMYFUNCTION("""COMPUTED_VALUE"""),41337.6666666666)</f>
        <v>41337.666666666599</v>
      </c>
      <c r="B618" s="4">
        <f ca="1">IFERROR(__xludf.DUMMYFUNCTION("""COMPUTED_VALUE"""),410.75)</f>
        <v>410.75</v>
      </c>
      <c r="C618" s="5">
        <f t="shared" ca="1" si="0"/>
        <v>1.8824894841989469E-2</v>
      </c>
    </row>
    <row r="619" spans="1:3" ht="13" x14ac:dyDescent="0.15">
      <c r="A619" s="3">
        <f ca="1">IFERROR(__xludf.DUMMYFUNCTION("""COMPUTED_VALUE"""),41338.6666666666)</f>
        <v>41338.666666666599</v>
      </c>
      <c r="B619" s="4">
        <f ca="1">IFERROR(__xludf.DUMMYFUNCTION("""COMPUTED_VALUE"""),419.3)</f>
        <v>419.3</v>
      </c>
      <c r="C619" s="5">
        <f t="shared" ca="1" si="0"/>
        <v>2.0601897259339499E-2</v>
      </c>
    </row>
    <row r="620" spans="1:3" ht="13" x14ac:dyDescent="0.15">
      <c r="A620" s="3">
        <f ca="1">IFERROR(__xludf.DUMMYFUNCTION("""COMPUTED_VALUE"""),41339.6666666666)</f>
        <v>41339.666666666599</v>
      </c>
      <c r="B620" s="4">
        <f ca="1">IFERROR(__xludf.DUMMYFUNCTION("""COMPUTED_VALUE"""),415.69)</f>
        <v>415.69</v>
      </c>
      <c r="C620" s="5">
        <f t="shared" ca="1" si="0"/>
        <v>-8.6468640169488648E-3</v>
      </c>
    </row>
    <row r="621" spans="1:3" ht="13" x14ac:dyDescent="0.15">
      <c r="A621" s="3">
        <f ca="1">IFERROR(__xludf.DUMMYFUNCTION("""COMPUTED_VALUE"""),41340.6666666666)</f>
        <v>41340.666666666599</v>
      </c>
      <c r="B621" s="4">
        <f ca="1">IFERROR(__xludf.DUMMYFUNCTION("""COMPUTED_VALUE"""),416.29)</f>
        <v>416.29</v>
      </c>
      <c r="C621" s="5">
        <f t="shared" ca="1" si="0"/>
        <v>1.4423426140475052E-3</v>
      </c>
    </row>
    <row r="622" spans="1:3" ht="13" x14ac:dyDescent="0.15">
      <c r="A622" s="3">
        <f ca="1">IFERROR(__xludf.DUMMYFUNCTION("""COMPUTED_VALUE"""),41341.6666666666)</f>
        <v>41341.666666666599</v>
      </c>
      <c r="B622" s="4">
        <f ca="1">IFERROR(__xludf.DUMMYFUNCTION("""COMPUTED_VALUE"""),415.76)</f>
        <v>415.76</v>
      </c>
      <c r="C622" s="5">
        <f t="shared" ca="1" si="0"/>
        <v>-1.2739620736292696E-3</v>
      </c>
    </row>
    <row r="623" spans="1:3" ht="13" x14ac:dyDescent="0.15">
      <c r="A623" s="3">
        <f ca="1">IFERROR(__xludf.DUMMYFUNCTION("""COMPUTED_VALUE"""),41344.6666666666)</f>
        <v>41344.666666666599</v>
      </c>
      <c r="B623" s="4">
        <f ca="1">IFERROR(__xludf.DUMMYFUNCTION("""COMPUTED_VALUE"""),417.41)</f>
        <v>417.41</v>
      </c>
      <c r="C623" s="5">
        <f t="shared" ca="1" si="0"/>
        <v>3.9607814901414379E-3</v>
      </c>
    </row>
    <row r="624" spans="1:3" ht="13" x14ac:dyDescent="0.15">
      <c r="A624" s="3">
        <f ca="1">IFERROR(__xludf.DUMMYFUNCTION("""COMPUTED_VALUE"""),41345.6666666666)</f>
        <v>41345.666666666599</v>
      </c>
      <c r="B624" s="4">
        <f ca="1">IFERROR(__xludf.DUMMYFUNCTION("""COMPUTED_VALUE"""),413.8)</f>
        <v>413.8</v>
      </c>
      <c r="C624" s="5">
        <f t="shared" ca="1" si="0"/>
        <v>-8.6861868788852374E-3</v>
      </c>
    </row>
    <row r="625" spans="1:3" ht="13" x14ac:dyDescent="0.15">
      <c r="A625" s="3">
        <f ca="1">IFERROR(__xludf.DUMMYFUNCTION("""COMPUTED_VALUE"""),41346.6666666666)</f>
        <v>41346.666666666599</v>
      </c>
      <c r="B625" s="4">
        <f ca="1">IFERROR(__xludf.DUMMYFUNCTION("""COMPUTED_VALUE"""),412.65)</f>
        <v>412.65</v>
      </c>
      <c r="C625" s="5">
        <f t="shared" ca="1" si="0"/>
        <v>-2.7829892727495417E-3</v>
      </c>
    </row>
    <row r="626" spans="1:3" ht="13" x14ac:dyDescent="0.15">
      <c r="A626" s="3">
        <f ca="1">IFERROR(__xludf.DUMMYFUNCTION("""COMPUTED_VALUE"""),41347.6666666666)</f>
        <v>41347.666666666599</v>
      </c>
      <c r="B626" s="4">
        <f ca="1">IFERROR(__xludf.DUMMYFUNCTION("""COMPUTED_VALUE"""),410.76)</f>
        <v>410.76</v>
      </c>
      <c r="C626" s="5">
        <f t="shared" ca="1" si="0"/>
        <v>-4.5906737085989512E-3</v>
      </c>
    </row>
    <row r="627" spans="1:3" ht="13" x14ac:dyDescent="0.15">
      <c r="A627" s="3">
        <f ca="1">IFERROR(__xludf.DUMMYFUNCTION("""COMPUTED_VALUE"""),41348.6666666666)</f>
        <v>41348.666666666599</v>
      </c>
      <c r="B627" s="4">
        <f ca="1">IFERROR(__xludf.DUMMYFUNCTION("""COMPUTED_VALUE"""),407.15)</f>
        <v>407.15</v>
      </c>
      <c r="C627" s="5">
        <f t="shared" ca="1" si="0"/>
        <v>-8.8274344169540046E-3</v>
      </c>
    </row>
    <row r="628" spans="1:3" ht="13" x14ac:dyDescent="0.15">
      <c r="A628" s="3">
        <f ca="1">IFERROR(__xludf.DUMMYFUNCTION("""COMPUTED_VALUE"""),41351.6666666666)</f>
        <v>41351.666666666599</v>
      </c>
      <c r="B628" s="4">
        <f ca="1">IFERROR(__xludf.DUMMYFUNCTION("""COMPUTED_VALUE"""),403.89)</f>
        <v>403.89</v>
      </c>
      <c r="C628" s="5">
        <f t="shared" ca="1" si="0"/>
        <v>-8.0391042538871683E-3</v>
      </c>
    </row>
    <row r="629" spans="1:3" ht="13" x14ac:dyDescent="0.15">
      <c r="A629" s="3">
        <f ca="1">IFERROR(__xludf.DUMMYFUNCTION("""COMPUTED_VALUE"""),41352.6666666666)</f>
        <v>41352.666666666599</v>
      </c>
      <c r="B629" s="4">
        <f ca="1">IFERROR(__xludf.DUMMYFUNCTION("""COMPUTED_VALUE"""),405.66)</f>
        <v>405.66</v>
      </c>
      <c r="C629" s="5">
        <f t="shared" ca="1" si="0"/>
        <v>4.3728066713885497E-3</v>
      </c>
    </row>
    <row r="630" spans="1:3" ht="13" x14ac:dyDescent="0.15">
      <c r="A630" s="3">
        <f ca="1">IFERROR(__xludf.DUMMYFUNCTION("""COMPUTED_VALUE"""),41353.6666666666)</f>
        <v>41353.666666666599</v>
      </c>
      <c r="B630" s="4">
        <f ca="1">IFERROR(__xludf.DUMMYFUNCTION("""COMPUTED_VALUE"""),407.35)</f>
        <v>407.35</v>
      </c>
      <c r="C630" s="5">
        <f t="shared" ca="1" si="0"/>
        <v>4.1573964260091965E-3</v>
      </c>
    </row>
    <row r="631" spans="1:3" ht="13" x14ac:dyDescent="0.15">
      <c r="A631" s="3">
        <f ca="1">IFERROR(__xludf.DUMMYFUNCTION("""COMPUTED_VALUE"""),41354.6666666666)</f>
        <v>41354.666666666599</v>
      </c>
      <c r="B631" s="4">
        <f ca="1">IFERROR(__xludf.DUMMYFUNCTION("""COMPUTED_VALUE"""),405.63)</f>
        <v>405.63</v>
      </c>
      <c r="C631" s="5">
        <f t="shared" ca="1" si="0"/>
        <v>-4.2313527178745513E-3</v>
      </c>
    </row>
    <row r="632" spans="1:3" ht="13" x14ac:dyDescent="0.15">
      <c r="A632" s="3">
        <f ca="1">IFERROR(__xludf.DUMMYFUNCTION("""COMPUTED_VALUE"""),41355.6666666666)</f>
        <v>41355.666666666599</v>
      </c>
      <c r="B632" s="4">
        <f ca="1">IFERROR(__xludf.DUMMYFUNCTION("""COMPUTED_VALUE"""),405.15)</f>
        <v>405.15</v>
      </c>
      <c r="C632" s="5">
        <f t="shared" ca="1" si="0"/>
        <v>-1.1840451320420514E-3</v>
      </c>
    </row>
    <row r="633" spans="1:3" ht="13" x14ac:dyDescent="0.15">
      <c r="A633" s="3">
        <f ca="1">IFERROR(__xludf.DUMMYFUNCTION("""COMPUTED_VALUE"""),41358.6666666666)</f>
        <v>41358.666666666599</v>
      </c>
      <c r="B633" s="4">
        <f ca="1">IFERROR(__xludf.DUMMYFUNCTION("""COMPUTED_VALUE"""),404.82)</f>
        <v>404.82</v>
      </c>
      <c r="C633" s="5">
        <f t="shared" ca="1" si="0"/>
        <v>-8.1484503934517981E-4</v>
      </c>
    </row>
    <row r="634" spans="1:3" ht="13" x14ac:dyDescent="0.15">
      <c r="A634" s="3">
        <f ca="1">IFERROR(__xludf.DUMMYFUNCTION("""COMPUTED_VALUE"""),41359.6666666666)</f>
        <v>41359.666666666599</v>
      </c>
      <c r="B634" s="4">
        <f ca="1">IFERROR(__xludf.DUMMYFUNCTION("""COMPUTED_VALUE"""),406.2)</f>
        <v>406.2</v>
      </c>
      <c r="C634" s="5">
        <f t="shared" ca="1" si="0"/>
        <v>3.4031252788952995E-3</v>
      </c>
    </row>
    <row r="635" spans="1:3" ht="13" x14ac:dyDescent="0.15">
      <c r="A635" s="3">
        <f ca="1">IFERROR(__xludf.DUMMYFUNCTION("""COMPUTED_VALUE"""),41360.6666666666)</f>
        <v>41360.666666666599</v>
      </c>
      <c r="B635" s="4">
        <f ca="1">IFERROR(__xludf.DUMMYFUNCTION("""COMPUTED_VALUE"""),401.32)</f>
        <v>401.32</v>
      </c>
      <c r="C635" s="5">
        <f t="shared" ca="1" si="0"/>
        <v>-1.2086535088872228E-2</v>
      </c>
    </row>
    <row r="636" spans="1:3" ht="13" x14ac:dyDescent="0.15">
      <c r="A636" s="3">
        <f ca="1">IFERROR(__xludf.DUMMYFUNCTION("""COMPUTED_VALUE"""),41361.6666666666)</f>
        <v>41361.666666666599</v>
      </c>
      <c r="B636" s="4">
        <f ca="1">IFERROR(__xludf.DUMMYFUNCTION("""COMPUTED_VALUE"""),397.09)</f>
        <v>397.09</v>
      </c>
      <c r="C636" s="5">
        <f t="shared" ca="1" si="0"/>
        <v>-1.0596158810951667E-2</v>
      </c>
    </row>
    <row r="637" spans="1:3" ht="13" x14ac:dyDescent="0.15">
      <c r="A637" s="3">
        <f ca="1">IFERROR(__xludf.DUMMYFUNCTION("""COMPUTED_VALUE"""),41365.6666666666)</f>
        <v>41365.666666666599</v>
      </c>
      <c r="B637" s="4">
        <f ca="1">IFERROR(__xludf.DUMMYFUNCTION("""COMPUTED_VALUE"""),400.59)</f>
        <v>400.59</v>
      </c>
      <c r="C637" s="5">
        <f t="shared" ca="1" si="0"/>
        <v>8.7755051175219291E-3</v>
      </c>
    </row>
    <row r="638" spans="1:3" ht="13" x14ac:dyDescent="0.15">
      <c r="A638" s="3">
        <f ca="1">IFERROR(__xludf.DUMMYFUNCTION("""COMPUTED_VALUE"""),41366.6666666666)</f>
        <v>41366.666666666599</v>
      </c>
      <c r="B638" s="4">
        <f ca="1">IFERROR(__xludf.DUMMYFUNCTION("""COMPUTED_VALUE"""),406.51)</f>
        <v>406.51</v>
      </c>
      <c r="C638" s="5">
        <f t="shared" ca="1" si="0"/>
        <v>1.4670068567304384E-2</v>
      </c>
    </row>
    <row r="639" spans="1:3" ht="13" x14ac:dyDescent="0.15">
      <c r="A639" s="3">
        <f ca="1">IFERROR(__xludf.DUMMYFUNCTION("""COMPUTED_VALUE"""),41367.6666666666)</f>
        <v>41367.666666666599</v>
      </c>
      <c r="B639" s="4">
        <f ca="1">IFERROR(__xludf.DUMMYFUNCTION("""COMPUTED_VALUE"""),403.1)</f>
        <v>403.1</v>
      </c>
      <c r="C639" s="5">
        <f t="shared" ca="1" si="0"/>
        <v>-8.4238588081664862E-3</v>
      </c>
    </row>
    <row r="640" spans="1:3" ht="13" x14ac:dyDescent="0.15">
      <c r="A640" s="3">
        <f ca="1">IFERROR(__xludf.DUMMYFUNCTION("""COMPUTED_VALUE"""),41368.6666666666)</f>
        <v>41368.666666666599</v>
      </c>
      <c r="B640" s="4">
        <f ca="1">IFERROR(__xludf.DUMMYFUNCTION("""COMPUTED_VALUE"""),397.53)</f>
        <v>397.53</v>
      </c>
      <c r="C640" s="5">
        <f t="shared" ca="1" si="0"/>
        <v>-1.3914267178465778E-2</v>
      </c>
    </row>
    <row r="641" spans="1:3" ht="13" x14ac:dyDescent="0.15">
      <c r="A641" s="3">
        <f ca="1">IFERROR(__xludf.DUMMYFUNCTION("""COMPUTED_VALUE"""),41369.6666666666)</f>
        <v>41369.666666666599</v>
      </c>
      <c r="B641" s="4">
        <f ca="1">IFERROR(__xludf.DUMMYFUNCTION("""COMPUTED_VALUE"""),391.52)</f>
        <v>391.52</v>
      </c>
      <c r="C641" s="5">
        <f t="shared" ca="1" si="0"/>
        <v>-1.5233803250292947E-2</v>
      </c>
    </row>
    <row r="642" spans="1:3" ht="13" x14ac:dyDescent="0.15">
      <c r="A642" s="3">
        <f ca="1">IFERROR(__xludf.DUMMYFUNCTION("""COMPUTED_VALUE"""),41372.6666666666)</f>
        <v>41372.666666666599</v>
      </c>
      <c r="B642" s="4">
        <f ca="1">IFERROR(__xludf.DUMMYFUNCTION("""COMPUTED_VALUE"""),387.42)</f>
        <v>387.42</v>
      </c>
      <c r="C642" s="5">
        <f t="shared" ca="1" si="0"/>
        <v>-1.0527223827930874E-2</v>
      </c>
    </row>
    <row r="643" spans="1:3" ht="13" x14ac:dyDescent="0.15">
      <c r="A643" s="3">
        <f ca="1">IFERROR(__xludf.DUMMYFUNCTION("""COMPUTED_VALUE"""),41373.6666666666)</f>
        <v>41373.666666666599</v>
      </c>
      <c r="B643" s="4">
        <f ca="1">IFERROR(__xludf.DUMMYFUNCTION("""COMPUTED_VALUE"""),388.82)</f>
        <v>388.82</v>
      </c>
      <c r="C643" s="5">
        <f t="shared" ca="1" si="0"/>
        <v>3.6071357260629698E-3</v>
      </c>
    </row>
    <row r="644" spans="1:3" ht="13" x14ac:dyDescent="0.15">
      <c r="A644" s="3">
        <f ca="1">IFERROR(__xludf.DUMMYFUNCTION("""COMPUTED_VALUE"""),41374.6666666666)</f>
        <v>41374.666666666599</v>
      </c>
      <c r="B644" s="4">
        <f ca="1">IFERROR(__xludf.DUMMYFUNCTION("""COMPUTED_VALUE"""),395.09)</f>
        <v>395.09</v>
      </c>
      <c r="C644" s="5">
        <f t="shared" ca="1" si="0"/>
        <v>1.5997075456457469E-2</v>
      </c>
    </row>
    <row r="645" spans="1:3" ht="13" x14ac:dyDescent="0.15">
      <c r="A645" s="3">
        <f ca="1">IFERROR(__xludf.DUMMYFUNCTION("""COMPUTED_VALUE"""),41375.6666666666)</f>
        <v>41375.666666666599</v>
      </c>
      <c r="B645" s="4">
        <f ca="1">IFERROR(__xludf.DUMMYFUNCTION("""COMPUTED_VALUE"""),395.19)</f>
        <v>395.19</v>
      </c>
      <c r="C645" s="5">
        <f t="shared" ca="1" si="0"/>
        <v>2.5307486089416812E-4</v>
      </c>
    </row>
    <row r="646" spans="1:3" ht="13" x14ac:dyDescent="0.15">
      <c r="A646" s="3">
        <f ca="1">IFERROR(__xludf.DUMMYFUNCTION("""COMPUTED_VALUE"""),41376.6666666666)</f>
        <v>41376.666666666599</v>
      </c>
      <c r="B646" s="4">
        <f ca="1">IFERROR(__xludf.DUMMYFUNCTION("""COMPUTED_VALUE"""),395.02)</f>
        <v>395.02</v>
      </c>
      <c r="C646" s="5">
        <f t="shared" ca="1" si="0"/>
        <v>-4.3026537913380837E-4</v>
      </c>
    </row>
    <row r="647" spans="1:3" ht="13" x14ac:dyDescent="0.15">
      <c r="A647" s="3">
        <f ca="1">IFERROR(__xludf.DUMMYFUNCTION("""COMPUTED_VALUE"""),41379.6666666666)</f>
        <v>41379.666666666599</v>
      </c>
      <c r="B647" s="4">
        <f ca="1">IFERROR(__xludf.DUMMYFUNCTION("""COMPUTED_VALUE"""),390.96)</f>
        <v>390.96</v>
      </c>
      <c r="C647" s="5">
        <f t="shared" ca="1" si="0"/>
        <v>-1.0331143568812323E-2</v>
      </c>
    </row>
    <row r="648" spans="1:3" ht="13" x14ac:dyDescent="0.15">
      <c r="A648" s="3">
        <f ca="1">IFERROR(__xludf.DUMMYFUNCTION("""COMPUTED_VALUE"""),41380.6666666666)</f>
        <v>41380.666666666599</v>
      </c>
      <c r="B648" s="4">
        <f ca="1">IFERROR(__xludf.DUMMYFUNCTION("""COMPUTED_VALUE"""),396.68)</f>
        <v>396.68</v>
      </c>
      <c r="C648" s="5">
        <f t="shared" ca="1" si="0"/>
        <v>1.4524657356025006E-2</v>
      </c>
    </row>
    <row r="649" spans="1:3" ht="13" x14ac:dyDescent="0.15">
      <c r="A649" s="3">
        <f ca="1">IFERROR(__xludf.DUMMYFUNCTION("""COMPUTED_VALUE"""),41381.6666666666)</f>
        <v>41381.666666666599</v>
      </c>
      <c r="B649" s="4">
        <f ca="1">IFERROR(__xludf.DUMMYFUNCTION("""COMPUTED_VALUE"""),391.28)</f>
        <v>391.28</v>
      </c>
      <c r="C649" s="5">
        <f t="shared" ca="1" si="0"/>
        <v>-1.3706494086822679E-2</v>
      </c>
    </row>
    <row r="650" spans="1:3" ht="13" x14ac:dyDescent="0.15">
      <c r="A650" s="3">
        <f ca="1">IFERROR(__xludf.DUMMYFUNCTION("""COMPUTED_VALUE"""),41382.6666666666)</f>
        <v>41382.666666666599</v>
      </c>
      <c r="B650" s="4">
        <f ca="1">IFERROR(__xludf.DUMMYFUNCTION("""COMPUTED_VALUE"""),382.95)</f>
        <v>382.95</v>
      </c>
      <c r="C650" s="5">
        <f t="shared" ca="1" si="0"/>
        <v>-2.151898387549922E-2</v>
      </c>
    </row>
    <row r="651" spans="1:3" ht="13" x14ac:dyDescent="0.15">
      <c r="A651" s="3">
        <f ca="1">IFERROR(__xludf.DUMMYFUNCTION("""COMPUTED_VALUE"""),41383.6666666666)</f>
        <v>41383.666666666599</v>
      </c>
      <c r="B651" s="4">
        <f ca="1">IFERROR(__xludf.DUMMYFUNCTION("""COMPUTED_VALUE"""),399.93)</f>
        <v>399.93</v>
      </c>
      <c r="C651" s="5">
        <f t="shared" ca="1" si="0"/>
        <v>4.3385099438092843E-2</v>
      </c>
    </row>
    <row r="652" spans="1:3" ht="13" x14ac:dyDescent="0.15">
      <c r="A652" s="3">
        <f ca="1">IFERROR(__xludf.DUMMYFUNCTION("""COMPUTED_VALUE"""),41386.6666666666)</f>
        <v>41386.666666666599</v>
      </c>
      <c r="B652" s="4">
        <f ca="1">IFERROR(__xludf.DUMMYFUNCTION("""COMPUTED_VALUE"""),400.05)</f>
        <v>400.05</v>
      </c>
      <c r="C652" s="5">
        <f t="shared" ca="1" si="0"/>
        <v>3.0000750243775126E-4</v>
      </c>
    </row>
    <row r="653" spans="1:3" ht="13" x14ac:dyDescent="0.15">
      <c r="A653" s="3">
        <f ca="1">IFERROR(__xludf.DUMMYFUNCTION("""COMPUTED_VALUE"""),41387.6666666666)</f>
        <v>41387.666666666599</v>
      </c>
      <c r="B653" s="4">
        <f ca="1">IFERROR(__xludf.DUMMYFUNCTION("""COMPUTED_VALUE"""),403.95)</f>
        <v>403.95</v>
      </c>
      <c r="C653" s="5">
        <f t="shared" ca="1" si="0"/>
        <v>9.7015686295846438E-3</v>
      </c>
    </row>
    <row r="654" spans="1:3" ht="13" x14ac:dyDescent="0.15">
      <c r="A654" s="3">
        <f ca="1">IFERROR(__xludf.DUMMYFUNCTION("""COMPUTED_VALUE"""),41388.6666666666)</f>
        <v>41388.666666666599</v>
      </c>
      <c r="B654" s="4">
        <f ca="1">IFERROR(__xludf.DUMMYFUNCTION("""COMPUTED_VALUE"""),406.72)</f>
        <v>406.72</v>
      </c>
      <c r="C654" s="5">
        <f t="shared" ca="1" si="0"/>
        <v>6.8338800753718178E-3</v>
      </c>
    </row>
    <row r="655" spans="1:3" ht="13" x14ac:dyDescent="0.15">
      <c r="A655" s="3">
        <f ca="1">IFERROR(__xludf.DUMMYFUNCTION("""COMPUTED_VALUE"""),41389.6666666666)</f>
        <v>41389.666666666599</v>
      </c>
      <c r="B655" s="4">
        <f ca="1">IFERROR(__xludf.DUMMYFUNCTION("""COMPUTED_VALUE"""),404.55)</f>
        <v>404.55</v>
      </c>
      <c r="C655" s="5">
        <f t="shared" ca="1" si="0"/>
        <v>-5.349649747240599E-3</v>
      </c>
    </row>
    <row r="656" spans="1:3" ht="13" x14ac:dyDescent="0.15">
      <c r="A656" s="3">
        <f ca="1">IFERROR(__xludf.DUMMYFUNCTION("""COMPUTED_VALUE"""),41390.6666666666)</f>
        <v>41390.666666666599</v>
      </c>
      <c r="B656" s="4">
        <f ca="1">IFERROR(__xludf.DUMMYFUNCTION("""COMPUTED_VALUE"""),400.7)</f>
        <v>400.7</v>
      </c>
      <c r="C656" s="5">
        <f t="shared" ca="1" si="0"/>
        <v>-9.5623206117499016E-3</v>
      </c>
    </row>
    <row r="657" spans="1:3" ht="13" x14ac:dyDescent="0.15">
      <c r="A657" s="3">
        <f ca="1">IFERROR(__xludf.DUMMYFUNCTION("""COMPUTED_VALUE"""),41393.6666666666)</f>
        <v>41393.666666666599</v>
      </c>
      <c r="B657" s="4">
        <f ca="1">IFERROR(__xludf.DUMMYFUNCTION("""COMPUTED_VALUE"""),409.53)</f>
        <v>409.53</v>
      </c>
      <c r="C657" s="5">
        <f t="shared" ca="1" si="0"/>
        <v>2.1797143040897141E-2</v>
      </c>
    </row>
    <row r="658" spans="1:3" ht="13" x14ac:dyDescent="0.15">
      <c r="A658" s="3">
        <f ca="1">IFERROR(__xludf.DUMMYFUNCTION("""COMPUTED_VALUE"""),41394.6666666666)</f>
        <v>41394.666666666599</v>
      </c>
      <c r="B658" s="4">
        <f ca="1">IFERROR(__xludf.DUMMYFUNCTION("""COMPUTED_VALUE"""),412.28)</f>
        <v>412.28</v>
      </c>
      <c r="C658" s="5">
        <f t="shared" ca="1" si="0"/>
        <v>6.6925694855960059E-3</v>
      </c>
    </row>
    <row r="659" spans="1:3" ht="13" x14ac:dyDescent="0.15">
      <c r="A659" s="3">
        <f ca="1">IFERROR(__xludf.DUMMYFUNCTION("""COMPUTED_VALUE"""),41395.6666666666)</f>
        <v>41395.666666666599</v>
      </c>
      <c r="B659" s="4">
        <f ca="1">IFERROR(__xludf.DUMMYFUNCTION("""COMPUTED_VALUE"""),410.21)</f>
        <v>410.21</v>
      </c>
      <c r="C659" s="5">
        <f t="shared" ca="1" si="0"/>
        <v>-5.0335064754355157E-3</v>
      </c>
    </row>
    <row r="660" spans="1:3" ht="13" x14ac:dyDescent="0.15">
      <c r="A660" s="3">
        <f ca="1">IFERROR(__xludf.DUMMYFUNCTION("""COMPUTED_VALUE"""),41396.6666666666)</f>
        <v>41396.666666666599</v>
      </c>
      <c r="B660" s="4">
        <f ca="1">IFERROR(__xludf.DUMMYFUNCTION("""COMPUTED_VALUE"""),414.8)</f>
        <v>414.8</v>
      </c>
      <c r="C660" s="5">
        <f t="shared" ca="1" si="0"/>
        <v>1.1127252662215972E-2</v>
      </c>
    </row>
    <row r="661" spans="1:3" ht="13" x14ac:dyDescent="0.15">
      <c r="A661" s="3">
        <f ca="1">IFERROR(__xludf.DUMMYFUNCTION("""COMPUTED_VALUE"""),41397.6666666666)</f>
        <v>41397.666666666599</v>
      </c>
      <c r="B661" s="4">
        <f ca="1">IFERROR(__xludf.DUMMYFUNCTION("""COMPUTED_VALUE"""),422.85)</f>
        <v>422.85</v>
      </c>
      <c r="C661" s="5">
        <f t="shared" ca="1" si="0"/>
        <v>1.9221029872859015E-2</v>
      </c>
    </row>
    <row r="662" spans="1:3" ht="13" x14ac:dyDescent="0.15">
      <c r="A662" s="3">
        <f ca="1">IFERROR(__xludf.DUMMYFUNCTION("""COMPUTED_VALUE"""),41400.6666666666)</f>
        <v>41400.666666666599</v>
      </c>
      <c r="B662" s="4">
        <f ca="1">IFERROR(__xludf.DUMMYFUNCTION("""COMPUTED_VALUE"""),430.77)</f>
        <v>430.77</v>
      </c>
      <c r="C662" s="5">
        <f t="shared" ca="1" si="0"/>
        <v>1.8556798746163766E-2</v>
      </c>
    </row>
    <row r="663" spans="1:3" ht="13" x14ac:dyDescent="0.15">
      <c r="A663" s="3">
        <f ca="1">IFERROR(__xludf.DUMMYFUNCTION("""COMPUTED_VALUE"""),41401.6666666666)</f>
        <v>41401.666666666599</v>
      </c>
      <c r="B663" s="4">
        <f ca="1">IFERROR(__xludf.DUMMYFUNCTION("""COMPUTED_VALUE"""),428.61)</f>
        <v>428.61</v>
      </c>
      <c r="C663" s="5">
        <f t="shared" ca="1" si="0"/>
        <v>-5.0268904292187387E-3</v>
      </c>
    </row>
    <row r="664" spans="1:3" ht="13" x14ac:dyDescent="0.15">
      <c r="A664" s="3">
        <f ca="1">IFERROR(__xludf.DUMMYFUNCTION("""COMPUTED_VALUE"""),41402.6666666666)</f>
        <v>41402.666666666599</v>
      </c>
      <c r="B664" s="4">
        <f ca="1">IFERROR(__xludf.DUMMYFUNCTION("""COMPUTED_VALUE"""),436.81)</f>
        <v>436.81</v>
      </c>
      <c r="C664" s="5">
        <f t="shared" ca="1" si="0"/>
        <v>1.895090339635417E-2</v>
      </c>
    </row>
    <row r="665" spans="1:3" ht="13" x14ac:dyDescent="0.15">
      <c r="A665" s="3">
        <f ca="1">IFERROR(__xludf.DUMMYFUNCTION("""COMPUTED_VALUE"""),41403.6666666666)</f>
        <v>41403.666666666599</v>
      </c>
      <c r="B665" s="4">
        <f ca="1">IFERROR(__xludf.DUMMYFUNCTION("""COMPUTED_VALUE"""),435.73)</f>
        <v>435.73</v>
      </c>
      <c r="C665" s="5">
        <f t="shared" ca="1" si="0"/>
        <v>-2.4755324719632921E-3</v>
      </c>
    </row>
    <row r="666" spans="1:3" ht="13" x14ac:dyDescent="0.15">
      <c r="A666" s="3">
        <f ca="1">IFERROR(__xludf.DUMMYFUNCTION("""COMPUTED_VALUE"""),41404.6666666666)</f>
        <v>41404.666666666599</v>
      </c>
      <c r="B666" s="4">
        <f ca="1">IFERROR(__xludf.DUMMYFUNCTION("""COMPUTED_VALUE"""),440.11)</f>
        <v>440.11</v>
      </c>
      <c r="C666" s="5">
        <f t="shared" ca="1" si="0"/>
        <v>1.000191019794695E-2</v>
      </c>
    </row>
    <row r="667" spans="1:3" ht="13" x14ac:dyDescent="0.15">
      <c r="A667" s="3">
        <f ca="1">IFERROR(__xludf.DUMMYFUNCTION("""COMPUTED_VALUE"""),41407.6666666666)</f>
        <v>41407.666666666599</v>
      </c>
      <c r="B667" s="4">
        <f ca="1">IFERROR(__xludf.DUMMYFUNCTION("""COMPUTED_VALUE"""),438.76)</f>
        <v>438.76</v>
      </c>
      <c r="C667" s="5">
        <f t="shared" ca="1" si="0"/>
        <v>-3.0721291243808522E-3</v>
      </c>
    </row>
    <row r="668" spans="1:3" ht="13" x14ac:dyDescent="0.15">
      <c r="A668" s="3">
        <f ca="1">IFERROR(__xludf.DUMMYFUNCTION("""COMPUTED_VALUE"""),41408.6666666666)</f>
        <v>41408.666666666599</v>
      </c>
      <c r="B668" s="4">
        <f ca="1">IFERROR(__xludf.DUMMYFUNCTION("""COMPUTED_VALUE"""),443.55)</f>
        <v>443.55</v>
      </c>
      <c r="C668" s="5">
        <f t="shared" ca="1" si="0"/>
        <v>1.0857968423462587E-2</v>
      </c>
    </row>
    <row r="669" spans="1:3" ht="13" x14ac:dyDescent="0.15">
      <c r="A669" s="3">
        <f ca="1">IFERROR(__xludf.DUMMYFUNCTION("""COMPUTED_VALUE"""),41409.6666666666)</f>
        <v>41409.666666666599</v>
      </c>
      <c r="B669" s="4">
        <f ca="1">IFERROR(__xludf.DUMMYFUNCTION("""COMPUTED_VALUE"""),457.94)</f>
        <v>457.94</v>
      </c>
      <c r="C669" s="5">
        <f t="shared" ca="1" si="0"/>
        <v>3.1927636198955257E-2</v>
      </c>
    </row>
    <row r="670" spans="1:3" ht="13" x14ac:dyDescent="0.15">
      <c r="A670" s="3">
        <f ca="1">IFERROR(__xludf.DUMMYFUNCTION("""COMPUTED_VALUE"""),41410.6666666666)</f>
        <v>41410.666666666599</v>
      </c>
      <c r="B670" s="4">
        <f ca="1">IFERROR(__xludf.DUMMYFUNCTION("""COMPUTED_VALUE"""),451.93)</f>
        <v>451.93</v>
      </c>
      <c r="C670" s="5">
        <f t="shared" ca="1" si="0"/>
        <v>-1.3210870583128989E-2</v>
      </c>
    </row>
    <row r="671" spans="1:3" ht="13" x14ac:dyDescent="0.15">
      <c r="A671" s="3">
        <f ca="1">IFERROR(__xludf.DUMMYFUNCTION("""COMPUTED_VALUE"""),41411.6666666666)</f>
        <v>41411.666666666599</v>
      </c>
      <c r="B671" s="4">
        <f ca="1">IFERROR(__xludf.DUMMYFUNCTION("""COMPUTED_VALUE"""),454.59)</f>
        <v>454.59</v>
      </c>
      <c r="C671" s="5">
        <f t="shared" ca="1" si="0"/>
        <v>5.8686132337584093E-3</v>
      </c>
    </row>
    <row r="672" spans="1:3" ht="13" x14ac:dyDescent="0.15">
      <c r="A672" s="3">
        <f ca="1">IFERROR(__xludf.DUMMYFUNCTION("""COMPUTED_VALUE"""),41414.6666666666)</f>
        <v>41414.666666666599</v>
      </c>
      <c r="B672" s="4">
        <f ca="1">IFERROR(__xludf.DUMMYFUNCTION("""COMPUTED_VALUE"""),454.26)</f>
        <v>454.26</v>
      </c>
      <c r="C672" s="5">
        <f t="shared" ca="1" si="0"/>
        <v>-7.2619247291033336E-4</v>
      </c>
    </row>
    <row r="673" spans="1:3" ht="13" x14ac:dyDescent="0.15">
      <c r="A673" s="3">
        <f ca="1">IFERROR(__xludf.DUMMYFUNCTION("""COMPUTED_VALUE"""),41415.6666666666)</f>
        <v>41415.666666666599</v>
      </c>
      <c r="B673" s="4">
        <f ca="1">IFERROR(__xludf.DUMMYFUNCTION("""COMPUTED_VALUE"""),453.48)</f>
        <v>453.48</v>
      </c>
      <c r="C673" s="5">
        <f t="shared" ca="1" si="0"/>
        <v>-1.7185541938723259E-3</v>
      </c>
    </row>
    <row r="674" spans="1:3" ht="13" x14ac:dyDescent="0.15">
      <c r="A674" s="3">
        <f ca="1">IFERROR(__xludf.DUMMYFUNCTION("""COMPUTED_VALUE"""),41416.6666666666)</f>
        <v>41416.666666666599</v>
      </c>
      <c r="B674" s="4">
        <f ca="1">IFERROR(__xludf.DUMMYFUNCTION("""COMPUTED_VALUE"""),444.7)</f>
        <v>444.7</v>
      </c>
      <c r="C674" s="5">
        <f t="shared" ca="1" si="0"/>
        <v>-1.9551269632747198E-2</v>
      </c>
    </row>
    <row r="675" spans="1:3" ht="13" x14ac:dyDescent="0.15">
      <c r="A675" s="3">
        <f ca="1">IFERROR(__xludf.DUMMYFUNCTION("""COMPUTED_VALUE"""),41417.6666666666)</f>
        <v>41417.666666666599</v>
      </c>
      <c r="B675" s="4">
        <f ca="1">IFERROR(__xludf.DUMMYFUNCTION("""COMPUTED_VALUE"""),441.39)</f>
        <v>441.39</v>
      </c>
      <c r="C675" s="5">
        <f t="shared" ca="1" si="0"/>
        <v>-7.4710591386854845E-3</v>
      </c>
    </row>
    <row r="676" spans="1:3" ht="13" x14ac:dyDescent="0.15">
      <c r="A676" s="3">
        <f ca="1">IFERROR(__xludf.DUMMYFUNCTION("""COMPUTED_VALUE"""),41418.6666666666)</f>
        <v>41418.666666666599</v>
      </c>
      <c r="B676" s="4">
        <f ca="1">IFERROR(__xludf.DUMMYFUNCTION("""COMPUTED_VALUE"""),436.66)</f>
        <v>436.66</v>
      </c>
      <c r="C676" s="5">
        <f t="shared" ca="1" si="0"/>
        <v>-1.0773978142994694E-2</v>
      </c>
    </row>
    <row r="677" spans="1:3" ht="13" x14ac:dyDescent="0.15">
      <c r="A677" s="3">
        <f ca="1">IFERROR(__xludf.DUMMYFUNCTION("""COMPUTED_VALUE"""),41422.6666666666)</f>
        <v>41422.666666666599</v>
      </c>
      <c r="B677" s="4">
        <f ca="1">IFERROR(__xludf.DUMMYFUNCTION("""COMPUTED_VALUE"""),440.63)</f>
        <v>440.63</v>
      </c>
      <c r="C677" s="5">
        <f t="shared" ca="1" si="0"/>
        <v>9.050660784910413E-3</v>
      </c>
    </row>
    <row r="678" spans="1:3" ht="13" x14ac:dyDescent="0.15">
      <c r="A678" s="3">
        <f ca="1">IFERROR(__xludf.DUMMYFUNCTION("""COMPUTED_VALUE"""),41423.6666666666)</f>
        <v>41423.666666666599</v>
      </c>
      <c r="B678" s="4">
        <f ca="1">IFERROR(__xludf.DUMMYFUNCTION("""COMPUTED_VALUE"""),434.15)</f>
        <v>434.15</v>
      </c>
      <c r="C678" s="5">
        <f t="shared" ca="1" si="0"/>
        <v>-1.4815424513226857E-2</v>
      </c>
    </row>
    <row r="679" spans="1:3" ht="13" x14ac:dyDescent="0.15">
      <c r="A679" s="3">
        <f ca="1">IFERROR(__xludf.DUMMYFUNCTION("""COMPUTED_VALUE"""),41424.6666666666)</f>
        <v>41424.666666666599</v>
      </c>
      <c r="B679" s="4">
        <f ca="1">IFERROR(__xludf.DUMMYFUNCTION("""COMPUTED_VALUE"""),435.38)</f>
        <v>435.38</v>
      </c>
      <c r="C679" s="5">
        <f t="shared" ca="1" si="0"/>
        <v>2.8291164661361744E-3</v>
      </c>
    </row>
    <row r="680" spans="1:3" ht="13" x14ac:dyDescent="0.15">
      <c r="A680" s="3">
        <f ca="1">IFERROR(__xludf.DUMMYFUNCTION("""COMPUTED_VALUE"""),41425.6666666666)</f>
        <v>41425.666666666599</v>
      </c>
      <c r="B680" s="4">
        <f ca="1">IFERROR(__xludf.DUMMYFUNCTION("""COMPUTED_VALUE"""),435.6)</f>
        <v>435.6</v>
      </c>
      <c r="C680" s="5">
        <f t="shared" ca="1" si="0"/>
        <v>5.0517808601533267E-4</v>
      </c>
    </row>
    <row r="681" spans="1:3" ht="13" x14ac:dyDescent="0.15">
      <c r="A681" s="3">
        <f ca="1">IFERROR(__xludf.DUMMYFUNCTION("""COMPUTED_VALUE"""),41428.6666666666)</f>
        <v>41428.666666666599</v>
      </c>
      <c r="B681" s="4">
        <f ca="1">IFERROR(__xludf.DUMMYFUNCTION("""COMPUTED_VALUE"""),433.81)</f>
        <v>433.81</v>
      </c>
      <c r="C681" s="5">
        <f t="shared" ca="1" si="0"/>
        <v>-4.1177408339860538E-3</v>
      </c>
    </row>
    <row r="682" spans="1:3" ht="13" x14ac:dyDescent="0.15">
      <c r="A682" s="3">
        <f ca="1">IFERROR(__xludf.DUMMYFUNCTION("""COMPUTED_VALUE"""),41429.6666666666)</f>
        <v>41429.666666666599</v>
      </c>
      <c r="B682" s="4">
        <f ca="1">IFERROR(__xludf.DUMMYFUNCTION("""COMPUTED_VALUE"""),429.55)</f>
        <v>429.55</v>
      </c>
      <c r="C682" s="5">
        <f t="shared" ca="1" si="0"/>
        <v>-9.8685011407538912E-3</v>
      </c>
    </row>
    <row r="683" spans="1:3" ht="13" x14ac:dyDescent="0.15">
      <c r="A683" s="3">
        <f ca="1">IFERROR(__xludf.DUMMYFUNCTION("""COMPUTED_VALUE"""),41430.6666666666)</f>
        <v>41430.666666666599</v>
      </c>
      <c r="B683" s="4">
        <f ca="1">IFERROR(__xludf.DUMMYFUNCTION("""COMPUTED_VALUE"""),429.85)</f>
        <v>429.85</v>
      </c>
      <c r="C683" s="5">
        <f t="shared" ca="1" si="0"/>
        <v>6.9816153638768491E-4</v>
      </c>
    </row>
    <row r="684" spans="1:3" ht="13" x14ac:dyDescent="0.15">
      <c r="A684" s="3">
        <f ca="1">IFERROR(__xludf.DUMMYFUNCTION("""COMPUTED_VALUE"""),41431.6666666666)</f>
        <v>41431.666666666599</v>
      </c>
      <c r="B684" s="4">
        <f ca="1">IFERROR(__xludf.DUMMYFUNCTION("""COMPUTED_VALUE"""),432.32)</f>
        <v>432.32</v>
      </c>
      <c r="C684" s="5">
        <f t="shared" ca="1" si="0"/>
        <v>5.7297441513809314E-3</v>
      </c>
    </row>
    <row r="685" spans="1:3" ht="13" x14ac:dyDescent="0.15">
      <c r="A685" s="3">
        <f ca="1">IFERROR(__xludf.DUMMYFUNCTION("""COMPUTED_VALUE"""),41432.6666666666)</f>
        <v>41432.666666666599</v>
      </c>
      <c r="B685" s="4">
        <f ca="1">IFERROR(__xludf.DUMMYFUNCTION("""COMPUTED_VALUE"""),439.86)</f>
        <v>439.86</v>
      </c>
      <c r="C685" s="5">
        <f t="shared" ca="1" si="0"/>
        <v>1.7290439691716147E-2</v>
      </c>
    </row>
    <row r="686" spans="1:3" ht="13" x14ac:dyDescent="0.15">
      <c r="A686" s="3">
        <f ca="1">IFERROR(__xludf.DUMMYFUNCTION("""COMPUTED_VALUE"""),41435.6666666666)</f>
        <v>41435.666666666599</v>
      </c>
      <c r="B686" s="4">
        <f ca="1">IFERROR(__xludf.DUMMYFUNCTION("""COMPUTED_VALUE"""),445.1)</f>
        <v>445.1</v>
      </c>
      <c r="C686" s="5">
        <f t="shared" ca="1" si="0"/>
        <v>1.1842481558258382E-2</v>
      </c>
    </row>
    <row r="687" spans="1:3" ht="13" x14ac:dyDescent="0.15">
      <c r="A687" s="3">
        <f ca="1">IFERROR(__xludf.DUMMYFUNCTION("""COMPUTED_VALUE"""),41436.6666666666)</f>
        <v>41436.666666666599</v>
      </c>
      <c r="B687" s="4">
        <f ca="1">IFERROR(__xludf.DUMMYFUNCTION("""COMPUTED_VALUE"""),439.9)</f>
        <v>439.9</v>
      </c>
      <c r="C687" s="5">
        <f t="shared" ca="1" si="0"/>
        <v>-1.1751547667134651E-2</v>
      </c>
    </row>
    <row r="688" spans="1:3" ht="13" x14ac:dyDescent="0.15">
      <c r="A688" s="3">
        <f ca="1">IFERROR(__xludf.DUMMYFUNCTION("""COMPUTED_VALUE"""),41437.6666666666)</f>
        <v>41437.666666666599</v>
      </c>
      <c r="B688" s="4">
        <f ca="1">IFERROR(__xludf.DUMMYFUNCTION("""COMPUTED_VALUE"""),435.98)</f>
        <v>435.98</v>
      </c>
      <c r="C688" s="5">
        <f t="shared" ca="1" si="0"/>
        <v>-8.9510576174048721E-3</v>
      </c>
    </row>
    <row r="689" spans="1:3" ht="13" x14ac:dyDescent="0.15">
      <c r="A689" s="3">
        <f ca="1">IFERROR(__xludf.DUMMYFUNCTION("""COMPUTED_VALUE"""),41438.6666666666)</f>
        <v>41438.666666666599</v>
      </c>
      <c r="B689" s="4">
        <f ca="1">IFERROR(__xludf.DUMMYFUNCTION("""COMPUTED_VALUE"""),438.5)</f>
        <v>438.5</v>
      </c>
      <c r="C689" s="5">
        <f t="shared" ca="1" si="0"/>
        <v>5.7634410749684839E-3</v>
      </c>
    </row>
    <row r="690" spans="1:3" ht="13" x14ac:dyDescent="0.15">
      <c r="A690" s="3">
        <f ca="1">IFERROR(__xludf.DUMMYFUNCTION("""COMPUTED_VALUE"""),41439.6666666666)</f>
        <v>41439.666666666599</v>
      </c>
      <c r="B690" s="4">
        <f ca="1">IFERROR(__xludf.DUMMYFUNCTION("""COMPUTED_VALUE"""),437.51)</f>
        <v>437.51</v>
      </c>
      <c r="C690" s="5">
        <f t="shared" ca="1" si="0"/>
        <v>-2.2602491329320397E-3</v>
      </c>
    </row>
    <row r="691" spans="1:3" ht="13" x14ac:dyDescent="0.15">
      <c r="A691" s="3">
        <f ca="1">IFERROR(__xludf.DUMMYFUNCTION("""COMPUTED_VALUE"""),41442.6666666666)</f>
        <v>41442.666666666599</v>
      </c>
      <c r="B691" s="4">
        <f ca="1">IFERROR(__xludf.DUMMYFUNCTION("""COMPUTED_VALUE"""),443.12)</f>
        <v>443.12</v>
      </c>
      <c r="C691" s="5">
        <f t="shared" ca="1" si="0"/>
        <v>1.27410510455427E-2</v>
      </c>
    </row>
    <row r="692" spans="1:3" ht="13" x14ac:dyDescent="0.15">
      <c r="A692" s="3">
        <f ca="1">IFERROR(__xludf.DUMMYFUNCTION("""COMPUTED_VALUE"""),41443.6666666666)</f>
        <v>41443.666666666599</v>
      </c>
      <c r="B692" s="4">
        <f ca="1">IFERROR(__xludf.DUMMYFUNCTION("""COMPUTED_VALUE"""),450.31)</f>
        <v>450.31</v>
      </c>
      <c r="C692" s="5">
        <f t="shared" ca="1" si="0"/>
        <v>1.609562075337384E-2</v>
      </c>
    </row>
    <row r="693" spans="1:3" ht="13" x14ac:dyDescent="0.15">
      <c r="A693" s="3">
        <f ca="1">IFERROR(__xludf.DUMMYFUNCTION("""COMPUTED_VALUE"""),41444.6666666666)</f>
        <v>41444.666666666599</v>
      </c>
      <c r="B693" s="4">
        <f ca="1">IFERROR(__xludf.DUMMYFUNCTION("""COMPUTED_VALUE"""),450.34)</f>
        <v>450.34</v>
      </c>
      <c r="C693" s="5">
        <f t="shared" ca="1" si="0"/>
        <v>6.6618553291653316E-5</v>
      </c>
    </row>
    <row r="694" spans="1:3" ht="13" x14ac:dyDescent="0.15">
      <c r="A694" s="3">
        <f ca="1">IFERROR(__xludf.DUMMYFUNCTION("""COMPUTED_VALUE"""),41445.6666666666)</f>
        <v>41445.666666666599</v>
      </c>
      <c r="B694" s="4">
        <f ca="1">IFERROR(__xludf.DUMMYFUNCTION("""COMPUTED_VALUE"""),442.37)</f>
        <v>442.37</v>
      </c>
      <c r="C694" s="5">
        <f t="shared" ca="1" si="0"/>
        <v>-1.7856217057622661E-2</v>
      </c>
    </row>
    <row r="695" spans="1:3" ht="13" x14ac:dyDescent="0.15">
      <c r="A695" s="3">
        <f ca="1">IFERROR(__xludf.DUMMYFUNCTION("""COMPUTED_VALUE"""),41446.6666666666)</f>
        <v>41446.666666666599</v>
      </c>
      <c r="B695" s="4">
        <f ca="1">IFERROR(__xludf.DUMMYFUNCTION("""COMPUTED_VALUE"""),440.46)</f>
        <v>440.46</v>
      </c>
      <c r="C695" s="5">
        <f t="shared" ca="1" si="0"/>
        <v>-4.3270006231464131E-3</v>
      </c>
    </row>
    <row r="696" spans="1:3" ht="13" x14ac:dyDescent="0.15">
      <c r="A696" s="3">
        <f ca="1">IFERROR(__xludf.DUMMYFUNCTION("""COMPUTED_VALUE"""),41449.6666666666)</f>
        <v>41449.666666666599</v>
      </c>
      <c r="B696" s="4">
        <f ca="1">IFERROR(__xludf.DUMMYFUNCTION("""COMPUTED_VALUE"""),434.89)</f>
        <v>434.89</v>
      </c>
      <c r="C696" s="5">
        <f t="shared" ca="1" si="0"/>
        <v>-1.2726509803189753E-2</v>
      </c>
    </row>
    <row r="697" spans="1:3" ht="13" x14ac:dyDescent="0.15">
      <c r="A697" s="3">
        <f ca="1">IFERROR(__xludf.DUMMYFUNCTION("""COMPUTED_VALUE"""),41450.6666666666)</f>
        <v>41450.666666666599</v>
      </c>
      <c r="B697" s="4">
        <f ca="1">IFERROR(__xludf.DUMMYFUNCTION("""COMPUTED_VALUE"""),433.1)</f>
        <v>433.1</v>
      </c>
      <c r="C697" s="5">
        <f t="shared" ca="1" si="0"/>
        <v>-4.124477326974115E-3</v>
      </c>
    </row>
    <row r="698" spans="1:3" ht="13" x14ac:dyDescent="0.15">
      <c r="A698" s="3">
        <f ca="1">IFERROR(__xludf.DUMMYFUNCTION("""COMPUTED_VALUE"""),41451.6666666666)</f>
        <v>41451.666666666599</v>
      </c>
      <c r="B698" s="4">
        <f ca="1">IFERROR(__xludf.DUMMYFUNCTION("""COMPUTED_VALUE"""),436.82)</f>
        <v>436.82</v>
      </c>
      <c r="C698" s="5">
        <f t="shared" ca="1" si="0"/>
        <v>8.5525627076841453E-3</v>
      </c>
    </row>
    <row r="699" spans="1:3" ht="13" x14ac:dyDescent="0.15">
      <c r="A699" s="3">
        <f ca="1">IFERROR(__xludf.DUMMYFUNCTION("""COMPUTED_VALUE"""),41452.6666666666)</f>
        <v>41452.666666666599</v>
      </c>
      <c r="B699" s="4">
        <f ca="1">IFERROR(__xludf.DUMMYFUNCTION("""COMPUTED_VALUE"""),438.53)</f>
        <v>438.53</v>
      </c>
      <c r="C699" s="5">
        <f t="shared" ca="1" si="0"/>
        <v>3.907013595080844E-3</v>
      </c>
    </row>
    <row r="700" spans="1:3" ht="13" x14ac:dyDescent="0.15">
      <c r="A700" s="3">
        <f ca="1">IFERROR(__xludf.DUMMYFUNCTION("""COMPUTED_VALUE"""),41453.6666666666)</f>
        <v>41453.666666666599</v>
      </c>
      <c r="B700" s="4">
        <f ca="1">IFERROR(__xludf.DUMMYFUNCTION("""COMPUTED_VALUE"""),440.18)</f>
        <v>440.18</v>
      </c>
      <c r="C700" s="5">
        <f t="shared" ca="1" si="0"/>
        <v>3.7555096431799865E-3</v>
      </c>
    </row>
    <row r="701" spans="1:3" ht="13" x14ac:dyDescent="0.15">
      <c r="A701" s="3">
        <f ca="1">IFERROR(__xludf.DUMMYFUNCTION("""COMPUTED_VALUE"""),41456.6666666666)</f>
        <v>41456.666666666599</v>
      </c>
      <c r="B701" s="4">
        <f ca="1">IFERROR(__xludf.DUMMYFUNCTION("""COMPUTED_VALUE"""),443.94)</f>
        <v>443.94</v>
      </c>
      <c r="C701" s="5">
        <f t="shared" ca="1" si="0"/>
        <v>8.5056839989884597E-3</v>
      </c>
    </row>
    <row r="702" spans="1:3" ht="13" x14ac:dyDescent="0.15">
      <c r="A702" s="3">
        <f ca="1">IFERROR(__xludf.DUMMYFUNCTION("""COMPUTED_VALUE"""),41457.6666666666)</f>
        <v>41457.666666666599</v>
      </c>
      <c r="B702" s="4">
        <f ca="1">IFERROR(__xludf.DUMMYFUNCTION("""COMPUTED_VALUE"""),441.15)</f>
        <v>441.15</v>
      </c>
      <c r="C702" s="5">
        <f t="shared" ca="1" si="0"/>
        <v>-6.304464497400874E-3</v>
      </c>
    </row>
    <row r="703" spans="1:3" ht="13" x14ac:dyDescent="0.15">
      <c r="A703" s="3">
        <f ca="1">IFERROR(__xludf.DUMMYFUNCTION("""COMPUTED_VALUE"""),41458.6666666666)</f>
        <v>41458.666666666599</v>
      </c>
      <c r="B703" s="4">
        <f ca="1">IFERROR(__xludf.DUMMYFUNCTION("""COMPUTED_VALUE"""),443.21)</f>
        <v>443.21</v>
      </c>
      <c r="C703" s="5">
        <f t="shared" ca="1" si="0"/>
        <v>4.6587446873111006E-3</v>
      </c>
    </row>
    <row r="704" spans="1:3" ht="13" x14ac:dyDescent="0.15">
      <c r="A704" s="3">
        <f ca="1">IFERROR(__xludf.DUMMYFUNCTION("""COMPUTED_VALUE"""),41460.6666666666)</f>
        <v>41460.666666666599</v>
      </c>
      <c r="B704" s="4">
        <f ca="1">IFERROR(__xludf.DUMMYFUNCTION("""COMPUTED_VALUE"""),446.74)</f>
        <v>446.74</v>
      </c>
      <c r="C704" s="5">
        <f t="shared" ca="1" si="0"/>
        <v>7.9330715499861624E-3</v>
      </c>
    </row>
    <row r="705" spans="1:3" ht="13" x14ac:dyDescent="0.15">
      <c r="A705" s="3">
        <f ca="1">IFERROR(__xludf.DUMMYFUNCTION("""COMPUTED_VALUE"""),41463.6666666666)</f>
        <v>41463.666666666599</v>
      </c>
      <c r="B705" s="4">
        <f ca="1">IFERROR(__xludf.DUMMYFUNCTION("""COMPUTED_VALUE"""),452.54)</f>
        <v>452.54</v>
      </c>
      <c r="C705" s="5">
        <f t="shared" ca="1" si="0"/>
        <v>1.2899387117770828E-2</v>
      </c>
    </row>
    <row r="706" spans="1:3" ht="13" x14ac:dyDescent="0.15">
      <c r="A706" s="3">
        <f ca="1">IFERROR(__xludf.DUMMYFUNCTION("""COMPUTED_VALUE"""),41464.6666666666)</f>
        <v>41464.666666666599</v>
      </c>
      <c r="B706" s="4">
        <f ca="1">IFERROR(__xludf.DUMMYFUNCTION("""COMPUTED_VALUE"""),452.62)</f>
        <v>452.62</v>
      </c>
      <c r="C706" s="5">
        <f t="shared" ca="1" si="0"/>
        <v>1.7676432941871297E-4</v>
      </c>
    </row>
    <row r="707" spans="1:3" ht="13" x14ac:dyDescent="0.15">
      <c r="A707" s="3">
        <f ca="1">IFERROR(__xludf.DUMMYFUNCTION("""COMPUTED_VALUE"""),41465.6666666666)</f>
        <v>41465.666666666599</v>
      </c>
      <c r="B707" s="4">
        <f ca="1">IFERROR(__xludf.DUMMYFUNCTION("""COMPUTED_VALUE"""),452.99)</f>
        <v>452.99</v>
      </c>
      <c r="C707" s="5">
        <f t="shared" ca="1" si="0"/>
        <v>8.1712883158839317E-4</v>
      </c>
    </row>
    <row r="708" spans="1:3" ht="13" x14ac:dyDescent="0.15">
      <c r="A708" s="3">
        <f ca="1">IFERROR(__xludf.DUMMYFUNCTION("""COMPUTED_VALUE"""),41466.6666666666)</f>
        <v>41466.666666666599</v>
      </c>
      <c r="B708" s="4">
        <f ca="1">IFERROR(__xludf.DUMMYFUNCTION("""COMPUTED_VALUE"""),460.12)</f>
        <v>460.12</v>
      </c>
      <c r="C708" s="5">
        <f t="shared" ca="1" si="0"/>
        <v>1.5617274843620712E-2</v>
      </c>
    </row>
    <row r="709" spans="1:3" ht="13" x14ac:dyDescent="0.15">
      <c r="A709" s="3">
        <f ca="1">IFERROR(__xludf.DUMMYFUNCTION("""COMPUTED_VALUE"""),41467.6666666666)</f>
        <v>41467.666666666599</v>
      </c>
      <c r="B709" s="4">
        <f ca="1">IFERROR(__xludf.DUMMYFUNCTION("""COMPUTED_VALUE"""),461.5)</f>
        <v>461.5</v>
      </c>
      <c r="C709" s="5">
        <f t="shared" ca="1" si="0"/>
        <v>2.9947289150973055E-3</v>
      </c>
    </row>
    <row r="710" spans="1:3" ht="13" x14ac:dyDescent="0.15">
      <c r="A710" s="3">
        <f ca="1">IFERROR(__xludf.DUMMYFUNCTION("""COMPUTED_VALUE"""),41470.6666666666)</f>
        <v>41470.666666666599</v>
      </c>
      <c r="B710" s="4">
        <f ca="1">IFERROR(__xludf.DUMMYFUNCTION("""COMPUTED_VALUE"""),462.34)</f>
        <v>462.34</v>
      </c>
      <c r="C710" s="5">
        <f t="shared" ca="1" si="0"/>
        <v>1.8184972105239692E-3</v>
      </c>
    </row>
    <row r="711" spans="1:3" ht="13" x14ac:dyDescent="0.15">
      <c r="A711" s="3">
        <f ca="1">IFERROR(__xludf.DUMMYFUNCTION("""COMPUTED_VALUE"""),41471.6666666666)</f>
        <v>41471.666666666599</v>
      </c>
      <c r="B711" s="4">
        <f ca="1">IFERROR(__xludf.DUMMYFUNCTION("""COMPUTED_VALUE"""),459.8)</f>
        <v>459.8</v>
      </c>
      <c r="C711" s="5">
        <f t="shared" ca="1" si="0"/>
        <v>-5.5089388243495943E-3</v>
      </c>
    </row>
    <row r="712" spans="1:3" ht="13" x14ac:dyDescent="0.15">
      <c r="A712" s="3">
        <f ca="1">IFERROR(__xludf.DUMMYFUNCTION("""COMPUTED_VALUE"""),41472.6666666666)</f>
        <v>41472.666666666599</v>
      </c>
      <c r="B712" s="4">
        <f ca="1">IFERROR(__xludf.DUMMYFUNCTION("""COMPUTED_VALUE"""),459.27)</f>
        <v>459.27</v>
      </c>
      <c r="C712" s="5">
        <f t="shared" ca="1" si="0"/>
        <v>-1.1533399169818108E-3</v>
      </c>
    </row>
    <row r="713" spans="1:3" ht="13" x14ac:dyDescent="0.15">
      <c r="A713" s="3">
        <f ca="1">IFERROR(__xludf.DUMMYFUNCTION("""COMPUTED_VALUE"""),41473.6666666666)</f>
        <v>41473.666666666599</v>
      </c>
      <c r="B713" s="4">
        <f ca="1">IFERROR(__xludf.DUMMYFUNCTION("""COMPUTED_VALUE"""),455.34)</f>
        <v>455.34</v>
      </c>
      <c r="C713" s="5">
        <f t="shared" ca="1" si="0"/>
        <v>-8.5938797682230481E-3</v>
      </c>
    </row>
    <row r="714" spans="1:3" ht="13" x14ac:dyDescent="0.15">
      <c r="A714" s="3">
        <f ca="1">IFERROR(__xludf.DUMMYFUNCTION("""COMPUTED_VALUE"""),41474.6666666666)</f>
        <v>41474.666666666599</v>
      </c>
      <c r="B714" s="4">
        <f ca="1">IFERROR(__xludf.DUMMYFUNCTION("""COMPUTED_VALUE"""),448.29)</f>
        <v>448.29</v>
      </c>
      <c r="C714" s="5">
        <f t="shared" ca="1" si="0"/>
        <v>-1.5604048222464974E-2</v>
      </c>
    </row>
    <row r="715" spans="1:3" ht="13" x14ac:dyDescent="0.15">
      <c r="A715" s="3">
        <f ca="1">IFERROR(__xludf.DUMMYFUNCTION("""COMPUTED_VALUE"""),41477.6666666666)</f>
        <v>41477.666666666599</v>
      </c>
      <c r="B715" s="4">
        <f ca="1">IFERROR(__xludf.DUMMYFUNCTION("""COMPUTED_VALUE"""),455.35)</f>
        <v>455.35</v>
      </c>
      <c r="C715" s="5">
        <f t="shared" ca="1" si="0"/>
        <v>1.5626009592416265E-2</v>
      </c>
    </row>
    <row r="716" spans="1:3" ht="13" x14ac:dyDescent="0.15">
      <c r="A716" s="3">
        <f ca="1">IFERROR(__xludf.DUMMYFUNCTION("""COMPUTED_VALUE"""),41478.6666666666)</f>
        <v>41478.666666666599</v>
      </c>
      <c r="B716" s="4">
        <f ca="1">IFERROR(__xludf.DUMMYFUNCTION("""COMPUTED_VALUE"""),451.9)</f>
        <v>451.9</v>
      </c>
      <c r="C716" s="5">
        <f t="shared" ca="1" si="0"/>
        <v>-7.6054375965936873E-3</v>
      </c>
    </row>
    <row r="717" spans="1:3" ht="13" x14ac:dyDescent="0.15">
      <c r="A717" s="3">
        <f ca="1">IFERROR(__xludf.DUMMYFUNCTION("""COMPUTED_VALUE"""),41479.6666666666)</f>
        <v>41479.666666666599</v>
      </c>
      <c r="B717" s="4">
        <f ca="1">IFERROR(__xludf.DUMMYFUNCTION("""COMPUTED_VALUE"""),451.45)</f>
        <v>451.45</v>
      </c>
      <c r="C717" s="5">
        <f t="shared" ca="1" si="0"/>
        <v>-9.9629166374582486E-4</v>
      </c>
    </row>
    <row r="718" spans="1:3" ht="13" x14ac:dyDescent="0.15">
      <c r="A718" s="3">
        <f ca="1">IFERROR(__xludf.DUMMYFUNCTION("""COMPUTED_VALUE"""),41480.6666666666)</f>
        <v>41480.666666666599</v>
      </c>
      <c r="B718" s="4">
        <f ca="1">IFERROR(__xludf.DUMMYFUNCTION("""COMPUTED_VALUE"""),443.85)</f>
        <v>443.85</v>
      </c>
      <c r="C718" s="5">
        <f t="shared" ca="1" si="0"/>
        <v>-1.6977957239159711E-2</v>
      </c>
    </row>
    <row r="719" spans="1:3" ht="13" x14ac:dyDescent="0.15">
      <c r="A719" s="3">
        <f ca="1">IFERROR(__xludf.DUMMYFUNCTION("""COMPUTED_VALUE"""),41481.6666666666)</f>
        <v>41481.666666666599</v>
      </c>
      <c r="B719" s="4">
        <f ca="1">IFERROR(__xludf.DUMMYFUNCTION("""COMPUTED_VALUE"""),442.67)</f>
        <v>442.67</v>
      </c>
      <c r="C719" s="5">
        <f t="shared" ca="1" si="0"/>
        <v>-2.6620960539281728E-3</v>
      </c>
    </row>
    <row r="720" spans="1:3" ht="13" x14ac:dyDescent="0.15">
      <c r="A720" s="3">
        <f ca="1">IFERROR(__xludf.DUMMYFUNCTION("""COMPUTED_VALUE"""),41484.6666666666)</f>
        <v>41484.666666666599</v>
      </c>
      <c r="B720" s="4">
        <f ca="1">IFERROR(__xludf.DUMMYFUNCTION("""COMPUTED_VALUE"""),441.13)</f>
        <v>441.13</v>
      </c>
      <c r="C720" s="5">
        <f t="shared" ca="1" si="0"/>
        <v>-3.4849548734929479E-3</v>
      </c>
    </row>
    <row r="721" spans="1:3" ht="13" x14ac:dyDescent="0.15">
      <c r="A721" s="3">
        <f ca="1">IFERROR(__xludf.DUMMYFUNCTION("""COMPUTED_VALUE"""),41485.6666666666)</f>
        <v>41485.666666666599</v>
      </c>
      <c r="B721" s="4">
        <f ca="1">IFERROR(__xludf.DUMMYFUNCTION("""COMPUTED_VALUE"""),445.45)</f>
        <v>445.45</v>
      </c>
      <c r="C721" s="5">
        <f t="shared" ca="1" si="0"/>
        <v>9.7453905797454179E-3</v>
      </c>
    </row>
    <row r="722" spans="1:3" ht="13" x14ac:dyDescent="0.15">
      <c r="A722" s="3">
        <f ca="1">IFERROR(__xludf.DUMMYFUNCTION("""COMPUTED_VALUE"""),41486.6666666666)</f>
        <v>41486.666666666599</v>
      </c>
      <c r="B722" s="4">
        <f ca="1">IFERROR(__xludf.DUMMYFUNCTION("""COMPUTED_VALUE"""),443.87)</f>
        <v>443.87</v>
      </c>
      <c r="C722" s="5">
        <f t="shared" ca="1" si="0"/>
        <v>-3.5532803993991438E-3</v>
      </c>
    </row>
    <row r="723" spans="1:3" ht="13" x14ac:dyDescent="0.15">
      <c r="A723" s="3">
        <f ca="1">IFERROR(__xludf.DUMMYFUNCTION("""COMPUTED_VALUE"""),41487.6666666666)</f>
        <v>41487.666666666599</v>
      </c>
      <c r="B723" s="4">
        <f ca="1">IFERROR(__xludf.DUMMYFUNCTION("""COMPUTED_VALUE"""),452.1)</f>
        <v>452.1</v>
      </c>
      <c r="C723" s="5">
        <f t="shared" ca="1" si="0"/>
        <v>1.8371667533305915E-2</v>
      </c>
    </row>
    <row r="724" spans="1:3" ht="13" x14ac:dyDescent="0.15">
      <c r="A724" s="3">
        <f ca="1">IFERROR(__xludf.DUMMYFUNCTION("""COMPUTED_VALUE"""),41488.6666666666)</f>
        <v>41488.666666666599</v>
      </c>
      <c r="B724" s="4">
        <f ca="1">IFERROR(__xludf.DUMMYFUNCTION("""COMPUTED_VALUE"""),453.28)</f>
        <v>453.28</v>
      </c>
      <c r="C724" s="5">
        <f t="shared" ca="1" si="0"/>
        <v>2.6066417816469132E-3</v>
      </c>
    </row>
    <row r="725" spans="1:3" ht="13" x14ac:dyDescent="0.15">
      <c r="A725" s="3">
        <f ca="1">IFERROR(__xludf.DUMMYFUNCTION("""COMPUTED_VALUE"""),41491.6666666666)</f>
        <v>41491.666666666599</v>
      </c>
      <c r="B725" s="4">
        <f ca="1">IFERROR(__xludf.DUMMYFUNCTION("""COMPUTED_VALUE"""),452.5)</f>
        <v>452.5</v>
      </c>
      <c r="C725" s="5">
        <f t="shared" ca="1" si="0"/>
        <v>-1.7222729422255139E-3</v>
      </c>
    </row>
    <row r="726" spans="1:3" ht="13" x14ac:dyDescent="0.15">
      <c r="A726" s="3">
        <f ca="1">IFERROR(__xludf.DUMMYFUNCTION("""COMPUTED_VALUE"""),41492.6666666666)</f>
        <v>41492.666666666599</v>
      </c>
      <c r="B726" s="4">
        <f ca="1">IFERROR(__xludf.DUMMYFUNCTION("""COMPUTED_VALUE"""),448.28)</f>
        <v>448.28</v>
      </c>
      <c r="C726" s="5">
        <f t="shared" ca="1" si="0"/>
        <v>-9.3697259561536014E-3</v>
      </c>
    </row>
    <row r="727" spans="1:3" ht="13" x14ac:dyDescent="0.15">
      <c r="A727" s="3">
        <f ca="1">IFERROR(__xludf.DUMMYFUNCTION("""COMPUTED_VALUE"""),41493.6666666666)</f>
        <v>41493.666666666599</v>
      </c>
      <c r="B727" s="4">
        <f ca="1">IFERROR(__xludf.DUMMYFUNCTION("""COMPUTED_VALUE"""),445.32)</f>
        <v>445.32</v>
      </c>
      <c r="C727" s="5">
        <f t="shared" ca="1" si="0"/>
        <v>-6.6249123233206274E-3</v>
      </c>
    </row>
    <row r="728" spans="1:3" ht="13" x14ac:dyDescent="0.15">
      <c r="A728" s="3">
        <f ca="1">IFERROR(__xludf.DUMMYFUNCTION("""COMPUTED_VALUE"""),41494.6666666666)</f>
        <v>41494.666666666599</v>
      </c>
      <c r="B728" s="4">
        <f ca="1">IFERROR(__xludf.DUMMYFUNCTION("""COMPUTED_VALUE"""),446.32)</f>
        <v>446.32</v>
      </c>
      <c r="C728" s="5">
        <f t="shared" ca="1" si="0"/>
        <v>2.2430586767664099E-3</v>
      </c>
    </row>
    <row r="729" spans="1:3" ht="13" x14ac:dyDescent="0.15">
      <c r="A729" s="3">
        <f ca="1">IFERROR(__xludf.DUMMYFUNCTION("""COMPUTED_VALUE"""),41495.6666666666)</f>
        <v>41495.666666666599</v>
      </c>
      <c r="B729" s="4">
        <f ca="1">IFERROR(__xludf.DUMMYFUNCTION("""COMPUTED_VALUE"""),445.2)</f>
        <v>445.2</v>
      </c>
      <c r="C729" s="5">
        <f t="shared" ca="1" si="0"/>
        <v>-2.5125641358831594E-3</v>
      </c>
    </row>
    <row r="730" spans="1:3" ht="13" x14ac:dyDescent="0.15">
      <c r="A730" s="3">
        <f ca="1">IFERROR(__xludf.DUMMYFUNCTION("""COMPUTED_VALUE"""),41498.6666666666)</f>
        <v>41498.666666666599</v>
      </c>
      <c r="B730" s="4">
        <f ca="1">IFERROR(__xludf.DUMMYFUNCTION("""COMPUTED_VALUE"""),442.75)</f>
        <v>442.75</v>
      </c>
      <c r="C730" s="5">
        <f t="shared" ca="1" si="0"/>
        <v>-5.5183427384468712E-3</v>
      </c>
    </row>
    <row r="731" spans="1:3" ht="13" x14ac:dyDescent="0.15">
      <c r="A731" s="3">
        <f ca="1">IFERROR(__xludf.DUMMYFUNCTION("""COMPUTED_VALUE"""),41499.6666666666)</f>
        <v>41499.666666666599</v>
      </c>
      <c r="B731" s="4">
        <f ca="1">IFERROR(__xludf.DUMMYFUNCTION("""COMPUTED_VALUE"""),440.62)</f>
        <v>440.62</v>
      </c>
      <c r="C731" s="5">
        <f t="shared" ca="1" si="0"/>
        <v>-4.8224506785238949E-3</v>
      </c>
    </row>
    <row r="732" spans="1:3" ht="13" x14ac:dyDescent="0.15">
      <c r="A732" s="3">
        <f ca="1">IFERROR(__xludf.DUMMYFUNCTION("""COMPUTED_VALUE"""),41500.6666666666)</f>
        <v>41500.666666666599</v>
      </c>
      <c r="B732" s="4">
        <f ca="1">IFERROR(__xludf.DUMMYFUNCTION("""COMPUTED_VALUE"""),434.9)</f>
        <v>434.9</v>
      </c>
      <c r="C732" s="5">
        <f t="shared" ca="1" si="0"/>
        <v>-1.3066706380826376E-2</v>
      </c>
    </row>
    <row r="733" spans="1:3" ht="13" x14ac:dyDescent="0.15">
      <c r="A733" s="3">
        <f ca="1">IFERROR(__xludf.DUMMYFUNCTION("""COMPUTED_VALUE"""),41501.6666666666)</f>
        <v>41501.666666666599</v>
      </c>
      <c r="B733" s="4">
        <f ca="1">IFERROR(__xludf.DUMMYFUNCTION("""COMPUTED_VALUE"""),429.82)</f>
        <v>429.82</v>
      </c>
      <c r="C733" s="5">
        <f t="shared" ca="1" si="0"/>
        <v>-1.1749603206532701E-2</v>
      </c>
    </row>
    <row r="734" spans="1:3" ht="13" x14ac:dyDescent="0.15">
      <c r="A734" s="3">
        <f ca="1">IFERROR(__xludf.DUMMYFUNCTION("""COMPUTED_VALUE"""),41502.6666666666)</f>
        <v>41502.666666666599</v>
      </c>
      <c r="B734" s="4">
        <f ca="1">IFERROR(__xludf.DUMMYFUNCTION("""COMPUTED_VALUE"""),428.45)</f>
        <v>428.45</v>
      </c>
      <c r="C734" s="5">
        <f t="shared" ca="1" si="0"/>
        <v>-3.1924712819321899E-3</v>
      </c>
    </row>
    <row r="735" spans="1:3" ht="13" x14ac:dyDescent="0.15">
      <c r="A735" s="3">
        <f ca="1">IFERROR(__xludf.DUMMYFUNCTION("""COMPUTED_VALUE"""),41505.6666666666)</f>
        <v>41505.666666666599</v>
      </c>
      <c r="B735" s="4">
        <f ca="1">IFERROR(__xludf.DUMMYFUNCTION("""COMPUTED_VALUE"""),432.82)</f>
        <v>432.82</v>
      </c>
      <c r="C735" s="5">
        <f t="shared" ca="1" si="0"/>
        <v>1.0147892070348776E-2</v>
      </c>
    </row>
    <row r="736" spans="1:3" ht="13" x14ac:dyDescent="0.15">
      <c r="A736" s="3">
        <f ca="1">IFERROR(__xludf.DUMMYFUNCTION("""COMPUTED_VALUE"""),41506.6666666666)</f>
        <v>41506.666666666599</v>
      </c>
      <c r="B736" s="4">
        <f ca="1">IFERROR(__xludf.DUMMYFUNCTION("""COMPUTED_VALUE"""),432.7)</f>
        <v>432.7</v>
      </c>
      <c r="C736" s="5">
        <f t="shared" ca="1" si="0"/>
        <v>-2.7728995463739367E-4</v>
      </c>
    </row>
    <row r="737" spans="1:3" ht="13" x14ac:dyDescent="0.15">
      <c r="A737" s="3">
        <f ca="1">IFERROR(__xludf.DUMMYFUNCTION("""COMPUTED_VALUE"""),41507.6666666666)</f>
        <v>41507.666666666599</v>
      </c>
      <c r="B737" s="4">
        <f ca="1">IFERROR(__xludf.DUMMYFUNCTION("""COMPUTED_VALUE"""),434.66)</f>
        <v>434.66</v>
      </c>
      <c r="C737" s="5">
        <f t="shared" ca="1" si="0"/>
        <v>4.5194690467172029E-3</v>
      </c>
    </row>
    <row r="738" spans="1:3" ht="13" x14ac:dyDescent="0.15">
      <c r="A738" s="3">
        <f ca="1">IFERROR(__xludf.DUMMYFUNCTION("""COMPUTED_VALUE"""),41508.6666666666)</f>
        <v>41508.666666666599</v>
      </c>
      <c r="B738" s="4">
        <f ca="1">IFERROR(__xludf.DUMMYFUNCTION("""COMPUTED_VALUE"""),436.85)</f>
        <v>436.85</v>
      </c>
      <c r="C738" s="5">
        <f t="shared" ca="1" si="0"/>
        <v>5.0257704665474488E-3</v>
      </c>
    </row>
    <row r="739" spans="1:3" ht="13" x14ac:dyDescent="0.15">
      <c r="A739" s="3">
        <f ca="1">IFERROR(__xludf.DUMMYFUNCTION("""COMPUTED_VALUE"""),41509.6666666666)</f>
        <v>41509.666666666599</v>
      </c>
      <c r="B739" s="4">
        <f ca="1">IFERROR(__xludf.DUMMYFUNCTION("""COMPUTED_VALUE"""),435.1)</f>
        <v>435.1</v>
      </c>
      <c r="C739" s="5">
        <f t="shared" ca="1" si="0"/>
        <v>-4.0139970174692136E-3</v>
      </c>
    </row>
    <row r="740" spans="1:3" ht="13" x14ac:dyDescent="0.15">
      <c r="A740" s="3">
        <f ca="1">IFERROR(__xludf.DUMMYFUNCTION("""COMPUTED_VALUE"""),41512.6666666666)</f>
        <v>41512.666666666599</v>
      </c>
      <c r="B740" s="4">
        <f ca="1">IFERROR(__xludf.DUMMYFUNCTION("""COMPUTED_VALUE"""),433.19)</f>
        <v>433.19</v>
      </c>
      <c r="C740" s="5">
        <f t="shared" ca="1" si="0"/>
        <v>-4.399458892093271E-3</v>
      </c>
    </row>
    <row r="741" spans="1:3" ht="13" x14ac:dyDescent="0.15">
      <c r="A741" s="3">
        <f ca="1">IFERROR(__xludf.DUMMYFUNCTION("""COMPUTED_VALUE"""),41513.6666666666)</f>
        <v>41513.666666666599</v>
      </c>
      <c r="B741" s="4">
        <f ca="1">IFERROR(__xludf.DUMMYFUNCTION("""COMPUTED_VALUE"""),425.07)</f>
        <v>425.07</v>
      </c>
      <c r="C741" s="5">
        <f t="shared" ca="1" si="0"/>
        <v>-1.8922569590296097E-2</v>
      </c>
    </row>
    <row r="742" spans="1:3" ht="13" x14ac:dyDescent="0.15">
      <c r="A742" s="3">
        <f ca="1">IFERROR(__xludf.DUMMYFUNCTION("""COMPUTED_VALUE"""),41514.6666666666)</f>
        <v>41514.666666666599</v>
      </c>
      <c r="B742" s="4">
        <f ca="1">IFERROR(__xludf.DUMMYFUNCTION("""COMPUTED_VALUE"""),424.27)</f>
        <v>424.27</v>
      </c>
      <c r="C742" s="5">
        <f t="shared" ca="1" si="0"/>
        <v>-1.8838162257381547E-3</v>
      </c>
    </row>
    <row r="743" spans="1:3" ht="13" x14ac:dyDescent="0.15">
      <c r="A743" s="3">
        <f ca="1">IFERROR(__xludf.DUMMYFUNCTION("""COMPUTED_VALUE"""),41515.6666666666)</f>
        <v>41515.666666666599</v>
      </c>
      <c r="B743" s="4">
        <f ca="1">IFERROR(__xludf.DUMMYFUNCTION("""COMPUTED_VALUE"""),427.71)</f>
        <v>427.71</v>
      </c>
      <c r="C743" s="5">
        <f t="shared" ca="1" si="0"/>
        <v>8.0753508154723687E-3</v>
      </c>
    </row>
    <row r="744" spans="1:3" ht="13" x14ac:dyDescent="0.15">
      <c r="A744" s="3">
        <f ca="1">IFERROR(__xludf.DUMMYFUNCTION("""COMPUTED_VALUE"""),41516.6666666666)</f>
        <v>41516.666666666599</v>
      </c>
      <c r="B744" s="4">
        <f ca="1">IFERROR(__xludf.DUMMYFUNCTION("""COMPUTED_VALUE"""),423.45)</f>
        <v>423.45</v>
      </c>
      <c r="C744" s="5">
        <f t="shared" ca="1" si="0"/>
        <v>-1.0009952466371243E-2</v>
      </c>
    </row>
    <row r="745" spans="1:3" ht="13" x14ac:dyDescent="0.15">
      <c r="A745" s="3">
        <f ca="1">IFERROR(__xludf.DUMMYFUNCTION("""COMPUTED_VALUE"""),41520.6666666666)</f>
        <v>41520.666666666599</v>
      </c>
      <c r="B745" s="4">
        <f ca="1">IFERROR(__xludf.DUMMYFUNCTION("""COMPUTED_VALUE"""),430.19)</f>
        <v>430.19</v>
      </c>
      <c r="C745" s="5">
        <f t="shared" ca="1" si="0"/>
        <v>1.5791528193527905E-2</v>
      </c>
    </row>
    <row r="746" spans="1:3" ht="13" x14ac:dyDescent="0.15">
      <c r="A746" s="3">
        <f ca="1">IFERROR(__xludf.DUMMYFUNCTION("""COMPUTED_VALUE"""),41521.6666666666)</f>
        <v>41521.666666666599</v>
      </c>
      <c r="B746" s="4">
        <f ca="1">IFERROR(__xludf.DUMMYFUNCTION("""COMPUTED_VALUE"""),435.81)</f>
        <v>435.81</v>
      </c>
      <c r="C746" s="5">
        <f t="shared" ca="1" si="0"/>
        <v>1.2979396991765965E-2</v>
      </c>
    </row>
    <row r="747" spans="1:3" ht="13" x14ac:dyDescent="0.15">
      <c r="A747" s="3">
        <f ca="1">IFERROR(__xludf.DUMMYFUNCTION("""COMPUTED_VALUE"""),41522.6666666666)</f>
        <v>41522.666666666599</v>
      </c>
      <c r="B747" s="4">
        <f ca="1">IFERROR(__xludf.DUMMYFUNCTION("""COMPUTED_VALUE"""),439.78)</f>
        <v>439.78</v>
      </c>
      <c r="C747" s="5">
        <f t="shared" ca="1" si="0"/>
        <v>9.068233317722647E-3</v>
      </c>
    </row>
    <row r="748" spans="1:3" ht="13" x14ac:dyDescent="0.15">
      <c r="A748" s="3">
        <f ca="1">IFERROR(__xludf.DUMMYFUNCTION("""COMPUTED_VALUE"""),41523.6666666666)</f>
        <v>41523.666666666599</v>
      </c>
      <c r="B748" s="4">
        <f ca="1">IFERROR(__xludf.DUMMYFUNCTION("""COMPUTED_VALUE"""),439.79)</f>
        <v>439.79</v>
      </c>
      <c r="C748" s="5">
        <f t="shared" ca="1" si="0"/>
        <v>2.2738383529378857E-5</v>
      </c>
    </row>
    <row r="749" spans="1:3" ht="13" x14ac:dyDescent="0.15">
      <c r="A749" s="3">
        <f ca="1">IFERROR(__xludf.DUMMYFUNCTION("""COMPUTED_VALUE"""),41526.6666666666)</f>
        <v>41526.666666666599</v>
      </c>
      <c r="B749" s="4">
        <f ca="1">IFERROR(__xludf.DUMMYFUNCTION("""COMPUTED_VALUE"""),444.02)</f>
        <v>444.02</v>
      </c>
      <c r="C749" s="5">
        <f t="shared" ca="1" si="0"/>
        <v>9.5722662086182055E-3</v>
      </c>
    </row>
    <row r="750" spans="1:3" ht="13" x14ac:dyDescent="0.15">
      <c r="A750" s="3">
        <f ca="1">IFERROR(__xludf.DUMMYFUNCTION("""COMPUTED_VALUE"""),41527.6666666666)</f>
        <v>41527.666666666599</v>
      </c>
      <c r="B750" s="4">
        <f ca="1">IFERROR(__xludf.DUMMYFUNCTION("""COMPUTED_VALUE"""),444.33)</f>
        <v>444.33</v>
      </c>
      <c r="C750" s="5">
        <f t="shared" ca="1" si="0"/>
        <v>6.9792314421875947E-4</v>
      </c>
    </row>
    <row r="751" spans="1:3" ht="13" x14ac:dyDescent="0.15">
      <c r="A751" s="3">
        <f ca="1">IFERROR(__xludf.DUMMYFUNCTION("""COMPUTED_VALUE"""),41528.6666666666)</f>
        <v>41528.666666666599</v>
      </c>
      <c r="B751" s="4">
        <f ca="1">IFERROR(__xludf.DUMMYFUNCTION("""COMPUTED_VALUE"""),448.09)</f>
        <v>448.09</v>
      </c>
      <c r="C751" s="5">
        <f t="shared" ca="1" si="0"/>
        <v>8.4265754888691174E-3</v>
      </c>
    </row>
    <row r="752" spans="1:3" ht="13" x14ac:dyDescent="0.15">
      <c r="A752" s="3">
        <f ca="1">IFERROR(__xludf.DUMMYFUNCTION("""COMPUTED_VALUE"""),41529.6666666666)</f>
        <v>41529.666666666599</v>
      </c>
      <c r="B752" s="4">
        <f ca="1">IFERROR(__xludf.DUMMYFUNCTION("""COMPUTED_VALUE"""),446.53)</f>
        <v>446.53</v>
      </c>
      <c r="C752" s="5">
        <f t="shared" ca="1" si="0"/>
        <v>-3.4875177866829079E-3</v>
      </c>
    </row>
    <row r="753" spans="1:3" ht="13" x14ac:dyDescent="0.15">
      <c r="A753" s="3">
        <f ca="1">IFERROR(__xludf.DUMMYFUNCTION("""COMPUTED_VALUE"""),41530.6666666666)</f>
        <v>41530.666666666599</v>
      </c>
      <c r="B753" s="4">
        <f ca="1">IFERROR(__xludf.DUMMYFUNCTION("""COMPUTED_VALUE"""),444.53)</f>
        <v>444.53</v>
      </c>
      <c r="C753" s="5">
        <f t="shared" ca="1" si="0"/>
        <v>-4.4890430691165578E-3</v>
      </c>
    </row>
    <row r="754" spans="1:3" ht="13" x14ac:dyDescent="0.15">
      <c r="A754" s="3">
        <f ca="1">IFERROR(__xludf.DUMMYFUNCTION("""COMPUTED_VALUE"""),41533.6666666666)</f>
        <v>41533.666666666599</v>
      </c>
      <c r="B754" s="4">
        <f ca="1">IFERROR(__xludf.DUMMYFUNCTION("""COMPUTED_VALUE"""),443.88)</f>
        <v>443.88</v>
      </c>
      <c r="C754" s="5">
        <f t="shared" ca="1" si="0"/>
        <v>-1.4632886076977206E-3</v>
      </c>
    </row>
    <row r="755" spans="1:3" ht="13" x14ac:dyDescent="0.15">
      <c r="A755" s="3">
        <f ca="1">IFERROR(__xludf.DUMMYFUNCTION("""COMPUTED_VALUE"""),41534.6666666666)</f>
        <v>41534.666666666599</v>
      </c>
      <c r="B755" s="4">
        <f ca="1">IFERROR(__xludf.DUMMYFUNCTION("""COMPUTED_VALUE"""),443.05)</f>
        <v>443.05</v>
      </c>
      <c r="C755" s="5">
        <f t="shared" ca="1" si="0"/>
        <v>-1.871625139051478E-3</v>
      </c>
    </row>
    <row r="756" spans="1:3" ht="13" x14ac:dyDescent="0.15">
      <c r="A756" s="3">
        <f ca="1">IFERROR(__xludf.DUMMYFUNCTION("""COMPUTED_VALUE"""),41535.6666666666)</f>
        <v>41535.666666666599</v>
      </c>
      <c r="B756" s="4">
        <f ca="1">IFERROR(__xludf.DUMMYFUNCTION("""COMPUTED_VALUE"""),451.66)</f>
        <v>451.66</v>
      </c>
      <c r="C756" s="5">
        <f t="shared" ca="1" si="0"/>
        <v>1.9247053895846626E-2</v>
      </c>
    </row>
    <row r="757" spans="1:3" ht="13" x14ac:dyDescent="0.15">
      <c r="A757" s="3">
        <f ca="1">IFERROR(__xludf.DUMMYFUNCTION("""COMPUTED_VALUE"""),41536.6666666666)</f>
        <v>41536.666666666599</v>
      </c>
      <c r="B757" s="4">
        <f ca="1">IFERROR(__xludf.DUMMYFUNCTION("""COMPUTED_VALUE"""),449.19)</f>
        <v>449.19</v>
      </c>
      <c r="C757" s="5">
        <f t="shared" ca="1" si="0"/>
        <v>-5.4837235714208727E-3</v>
      </c>
    </row>
    <row r="758" spans="1:3" ht="13" x14ac:dyDescent="0.15">
      <c r="A758" s="3">
        <f ca="1">IFERROR(__xludf.DUMMYFUNCTION("""COMPUTED_VALUE"""),41537.6666666666)</f>
        <v>41537.666666666599</v>
      </c>
      <c r="B758" s="4">
        <f ca="1">IFERROR(__xludf.DUMMYFUNCTION("""COMPUTED_VALUE"""),451.55)</f>
        <v>451.55</v>
      </c>
      <c r="C758" s="5">
        <f t="shared" ca="1" si="0"/>
        <v>5.2401478790704715E-3</v>
      </c>
    </row>
    <row r="759" spans="1:3" ht="13" x14ac:dyDescent="0.15">
      <c r="A759" s="3">
        <f ca="1">IFERROR(__xludf.DUMMYFUNCTION("""COMPUTED_VALUE"""),41540.6666666666)</f>
        <v>41540.666666666599</v>
      </c>
      <c r="B759" s="4">
        <f ca="1">IFERROR(__xludf.DUMMYFUNCTION("""COMPUTED_VALUE"""),443.25)</f>
        <v>443.25</v>
      </c>
      <c r="C759" s="5">
        <f t="shared" ca="1" si="0"/>
        <v>-1.8552163742490545E-2</v>
      </c>
    </row>
    <row r="760" spans="1:3" ht="13" x14ac:dyDescent="0.15">
      <c r="A760" s="3">
        <f ca="1">IFERROR(__xludf.DUMMYFUNCTION("""COMPUTED_VALUE"""),41541.6666666666)</f>
        <v>41541.666666666599</v>
      </c>
      <c r="B760" s="4">
        <f ca="1">IFERROR(__xludf.DUMMYFUNCTION("""COMPUTED_VALUE"""),443.42)</f>
        <v>443.42</v>
      </c>
      <c r="C760" s="5">
        <f t="shared" ca="1" si="0"/>
        <v>3.8345720974668413E-4</v>
      </c>
    </row>
    <row r="761" spans="1:3" ht="13" x14ac:dyDescent="0.15">
      <c r="A761" s="3">
        <f ca="1">IFERROR(__xludf.DUMMYFUNCTION("""COMPUTED_VALUE"""),41542.6666666666)</f>
        <v>41542.666666666599</v>
      </c>
      <c r="B761" s="4">
        <f ca="1">IFERROR(__xludf.DUMMYFUNCTION("""COMPUTED_VALUE"""),438.61)</f>
        <v>438.61</v>
      </c>
      <c r="C761" s="5">
        <f t="shared" ca="1" si="0"/>
        <v>-1.0906766622586633E-2</v>
      </c>
    </row>
    <row r="762" spans="1:3" ht="13" x14ac:dyDescent="0.15">
      <c r="A762" s="3">
        <f ca="1">IFERROR(__xludf.DUMMYFUNCTION("""COMPUTED_VALUE"""),41543.6666666666)</f>
        <v>41543.666666666599</v>
      </c>
      <c r="B762" s="4">
        <f ca="1">IFERROR(__xludf.DUMMYFUNCTION("""COMPUTED_VALUE"""),439.08)</f>
        <v>439.08</v>
      </c>
      <c r="C762" s="5">
        <f t="shared" ca="1" si="0"/>
        <v>1.0709932776382385E-3</v>
      </c>
    </row>
    <row r="763" spans="1:3" ht="13" x14ac:dyDescent="0.15">
      <c r="A763" s="3">
        <f ca="1">IFERROR(__xludf.DUMMYFUNCTION("""COMPUTED_VALUE"""),41544.6666666666)</f>
        <v>41544.666666666599</v>
      </c>
      <c r="B763" s="4">
        <f ca="1">IFERROR(__xludf.DUMMYFUNCTION("""COMPUTED_VALUE"""),438.19)</f>
        <v>438.19</v>
      </c>
      <c r="C763" s="5">
        <f t="shared" ca="1" si="0"/>
        <v>-2.0290225479934472E-3</v>
      </c>
    </row>
    <row r="764" spans="1:3" ht="13" x14ac:dyDescent="0.15">
      <c r="A764" s="3">
        <f ca="1">IFERROR(__xludf.DUMMYFUNCTION("""COMPUTED_VALUE"""),41547.6666666666)</f>
        <v>41547.666666666599</v>
      </c>
      <c r="B764" s="4">
        <f ca="1">IFERROR(__xludf.DUMMYFUNCTION("""COMPUTED_VALUE"""),437.95)</f>
        <v>437.95</v>
      </c>
      <c r="C764" s="5">
        <f t="shared" ca="1" si="0"/>
        <v>-5.4785766202427677E-4</v>
      </c>
    </row>
    <row r="765" spans="1:3" ht="13" x14ac:dyDescent="0.15">
      <c r="A765" s="3">
        <f ca="1">IFERROR(__xludf.DUMMYFUNCTION("""COMPUTED_VALUE"""),41548.6666666666)</f>
        <v>41548.666666666599</v>
      </c>
      <c r="B765" s="4">
        <f ca="1">IFERROR(__xludf.DUMMYFUNCTION("""COMPUTED_VALUE"""),443.5)</f>
        <v>443.5</v>
      </c>
      <c r="C765" s="5">
        <f t="shared" ca="1" si="0"/>
        <v>1.2593053140536331E-2</v>
      </c>
    </row>
    <row r="766" spans="1:3" ht="13" x14ac:dyDescent="0.15">
      <c r="A766" s="3">
        <f ca="1">IFERROR(__xludf.DUMMYFUNCTION("""COMPUTED_VALUE"""),41549.6666666666)</f>
        <v>41549.666666666599</v>
      </c>
      <c r="B766" s="4">
        <f ca="1">IFERROR(__xludf.DUMMYFUNCTION("""COMPUTED_VALUE"""),443.99)</f>
        <v>443.99</v>
      </c>
      <c r="C766" s="5">
        <f t="shared" ca="1" si="0"/>
        <v>1.1042379064321465E-3</v>
      </c>
    </row>
    <row r="767" spans="1:3" ht="13" x14ac:dyDescent="0.15">
      <c r="A767" s="3">
        <f ca="1">IFERROR(__xludf.DUMMYFUNCTION("""COMPUTED_VALUE"""),41550.6666666666)</f>
        <v>41550.666666666599</v>
      </c>
      <c r="B767" s="4">
        <f ca="1">IFERROR(__xludf.DUMMYFUNCTION("""COMPUTED_VALUE"""),438.04)</f>
        <v>438.04</v>
      </c>
      <c r="C767" s="5">
        <f t="shared" ca="1" si="0"/>
        <v>-1.3491809248507972E-2</v>
      </c>
    </row>
    <row r="768" spans="1:3" ht="13" x14ac:dyDescent="0.15">
      <c r="A768" s="3">
        <f ca="1">IFERROR(__xludf.DUMMYFUNCTION("""COMPUTED_VALUE"""),41551.6666666666)</f>
        <v>41551.666666666599</v>
      </c>
      <c r="B768" s="4">
        <f ca="1">IFERROR(__xludf.DUMMYFUNCTION("""COMPUTED_VALUE"""),436.17)</f>
        <v>436.17</v>
      </c>
      <c r="C768" s="5">
        <f t="shared" ca="1" si="0"/>
        <v>-4.2781547961144358E-3</v>
      </c>
    </row>
    <row r="769" spans="1:3" ht="13" x14ac:dyDescent="0.15">
      <c r="A769" s="3">
        <f ca="1">IFERROR(__xludf.DUMMYFUNCTION("""COMPUTED_VALUE"""),41554.6666666666)</f>
        <v>41554.666666666599</v>
      </c>
      <c r="B769" s="4">
        <f ca="1">IFERROR(__xludf.DUMMYFUNCTION("""COMPUTED_VALUE"""),432.87)</f>
        <v>432.87</v>
      </c>
      <c r="C769" s="5">
        <f t="shared" ca="1" si="0"/>
        <v>-7.5946236341698425E-3</v>
      </c>
    </row>
    <row r="770" spans="1:3" ht="13" x14ac:dyDescent="0.15">
      <c r="A770" s="3">
        <f ca="1">IFERROR(__xludf.DUMMYFUNCTION("""COMPUTED_VALUE"""),41555.6666666666)</f>
        <v>41555.666666666599</v>
      </c>
      <c r="B770" s="4">
        <f ca="1">IFERROR(__xludf.DUMMYFUNCTION("""COMPUTED_VALUE"""),426.83)</f>
        <v>426.83</v>
      </c>
      <c r="C770" s="5">
        <f t="shared" ca="1" si="0"/>
        <v>-1.4051644485731631E-2</v>
      </c>
    </row>
    <row r="771" spans="1:3" ht="13" x14ac:dyDescent="0.15">
      <c r="A771" s="3">
        <f ca="1">IFERROR(__xludf.DUMMYFUNCTION("""COMPUTED_VALUE"""),41556.6666666666)</f>
        <v>41556.666666666599</v>
      </c>
      <c r="B771" s="4">
        <f ca="1">IFERROR(__xludf.DUMMYFUNCTION("""COMPUTED_VALUE"""),427.93)</f>
        <v>427.93</v>
      </c>
      <c r="C771" s="5">
        <f t="shared" ca="1" si="0"/>
        <v>2.5738233123961535E-3</v>
      </c>
    </row>
    <row r="772" spans="1:3" ht="13" x14ac:dyDescent="0.15">
      <c r="A772" s="3">
        <f ca="1">IFERROR(__xludf.DUMMYFUNCTION("""COMPUTED_VALUE"""),41557.6666666666)</f>
        <v>41557.666666666599</v>
      </c>
      <c r="B772" s="4">
        <f ca="1">IFERROR(__xludf.DUMMYFUNCTION("""COMPUTED_VALUE"""),434.12)</f>
        <v>434.12</v>
      </c>
      <c r="C772" s="5">
        <f t="shared" ca="1" si="0"/>
        <v>1.4361362773875628E-2</v>
      </c>
    </row>
    <row r="773" spans="1:3" ht="13" x14ac:dyDescent="0.15">
      <c r="A773" s="3">
        <f ca="1">IFERROR(__xludf.DUMMYFUNCTION("""COMPUTED_VALUE"""),41558.6666666666)</f>
        <v>41558.666666666599</v>
      </c>
      <c r="B773" s="4">
        <f ca="1">IFERROR(__xludf.DUMMYFUNCTION("""COMPUTED_VALUE"""),435.99)</f>
        <v>435.99</v>
      </c>
      <c r="C773" s="5">
        <f t="shared" ca="1" si="0"/>
        <v>4.2983137283747006E-3</v>
      </c>
    </row>
    <row r="774" spans="1:3" ht="13" x14ac:dyDescent="0.15">
      <c r="A774" s="3">
        <f ca="1">IFERROR(__xludf.DUMMYFUNCTION("""COMPUTED_VALUE"""),41561.6666666666)</f>
        <v>41561.666666666599</v>
      </c>
      <c r="B774" s="4">
        <f ca="1">IFERROR(__xludf.DUMMYFUNCTION("""COMPUTED_VALUE"""),438.05)</f>
        <v>438.05</v>
      </c>
      <c r="C774" s="5">
        <f t="shared" ca="1" si="0"/>
        <v>4.7137518061839447E-3</v>
      </c>
    </row>
    <row r="775" spans="1:3" ht="13" x14ac:dyDescent="0.15">
      <c r="A775" s="3">
        <f ca="1">IFERROR(__xludf.DUMMYFUNCTION("""COMPUTED_VALUE"""),41562.6666666666)</f>
        <v>41562.666666666599</v>
      </c>
      <c r="B775" s="4">
        <f ca="1">IFERROR(__xludf.DUMMYFUNCTION("""COMPUTED_VALUE"""),441)</f>
        <v>441</v>
      </c>
      <c r="C775" s="5">
        <f t="shared" ca="1" si="0"/>
        <v>6.711816334473153E-3</v>
      </c>
    </row>
    <row r="776" spans="1:3" ht="13" x14ac:dyDescent="0.15">
      <c r="A776" s="3">
        <f ca="1">IFERROR(__xludf.DUMMYFUNCTION("""COMPUTED_VALUE"""),41563.6666666666)</f>
        <v>41563.666666666599</v>
      </c>
      <c r="B776" s="4">
        <f ca="1">IFERROR(__xludf.DUMMYFUNCTION("""COMPUTED_VALUE"""),449.01)</f>
        <v>449.01</v>
      </c>
      <c r="C776" s="5">
        <f t="shared" ca="1" si="0"/>
        <v>1.8000283762319276E-2</v>
      </c>
    </row>
    <row r="777" spans="1:3" ht="13" x14ac:dyDescent="0.15">
      <c r="A777" s="3">
        <f ca="1">IFERROR(__xludf.DUMMYFUNCTION("""COMPUTED_VALUE"""),41564.6666666666)</f>
        <v>41564.666666666599</v>
      </c>
      <c r="B777" s="4">
        <f ca="1">IFERROR(__xludf.DUMMYFUNCTION("""COMPUTED_VALUE"""),444.39)</f>
        <v>444.39</v>
      </c>
      <c r="C777" s="5">
        <f t="shared" ca="1" si="0"/>
        <v>-1.0342603947094874E-2</v>
      </c>
    </row>
    <row r="778" spans="1:3" ht="13" x14ac:dyDescent="0.15">
      <c r="A778" s="3">
        <f ca="1">IFERROR(__xludf.DUMMYFUNCTION("""COMPUTED_VALUE"""),41565.6666666666)</f>
        <v>41565.666666666599</v>
      </c>
      <c r="B778" s="4">
        <f ca="1">IFERROR(__xludf.DUMMYFUNCTION("""COMPUTED_VALUE"""),505.7)</f>
        <v>505.7</v>
      </c>
      <c r="C778" s="5">
        <f t="shared" ca="1" si="0"/>
        <v>0.12924105282386691</v>
      </c>
    </row>
    <row r="779" spans="1:3" ht="13" x14ac:dyDescent="0.15">
      <c r="A779" s="3">
        <f ca="1">IFERROR(__xludf.DUMMYFUNCTION("""COMPUTED_VALUE"""),41568.6666666666)</f>
        <v>41568.666666666599</v>
      </c>
      <c r="B779" s="4">
        <f ca="1">IFERROR(__xludf.DUMMYFUNCTION("""COMPUTED_VALUE"""),501.65)</f>
        <v>501.65</v>
      </c>
      <c r="C779" s="5">
        <f t="shared" ca="1" si="0"/>
        <v>-8.0409427143156471E-3</v>
      </c>
    </row>
    <row r="780" spans="1:3" ht="13" x14ac:dyDescent="0.15">
      <c r="A780" s="3">
        <f ca="1">IFERROR(__xludf.DUMMYFUNCTION("""COMPUTED_VALUE"""),41569.6666666666)</f>
        <v>41569.666666666599</v>
      </c>
      <c r="B780" s="4">
        <f ca="1">IFERROR(__xludf.DUMMYFUNCTION("""COMPUTED_VALUE"""),503.5)</f>
        <v>503.5</v>
      </c>
      <c r="C780" s="5">
        <f t="shared" ca="1" si="0"/>
        <v>3.6810467869953472E-3</v>
      </c>
    </row>
    <row r="781" spans="1:3" ht="13" x14ac:dyDescent="0.15">
      <c r="A781" s="3">
        <f ca="1">IFERROR(__xludf.DUMMYFUNCTION("""COMPUTED_VALUE"""),41570.6666666666)</f>
        <v>41570.666666666599</v>
      </c>
      <c r="B781" s="4">
        <f ca="1">IFERROR(__xludf.DUMMYFUNCTION("""COMPUTED_VALUE"""),515.7)</f>
        <v>515.70000000000005</v>
      </c>
      <c r="C781" s="5">
        <f t="shared" ca="1" si="0"/>
        <v>2.394148889829642E-2</v>
      </c>
    </row>
    <row r="782" spans="1:3" ht="13" x14ac:dyDescent="0.15">
      <c r="A782" s="3">
        <f ca="1">IFERROR(__xludf.DUMMYFUNCTION("""COMPUTED_VALUE"""),41571.6666666666)</f>
        <v>41571.666666666599</v>
      </c>
      <c r="B782" s="4">
        <f ca="1">IFERROR(__xludf.DUMMYFUNCTION("""COMPUTED_VALUE"""),512.77)</f>
        <v>512.77</v>
      </c>
      <c r="C782" s="5">
        <f t="shared" ca="1" si="0"/>
        <v>-5.6977995018753129E-3</v>
      </c>
    </row>
    <row r="783" spans="1:3" ht="13" x14ac:dyDescent="0.15">
      <c r="A783" s="3">
        <f ca="1">IFERROR(__xludf.DUMMYFUNCTION("""COMPUTED_VALUE"""),41572.6666666666)</f>
        <v>41572.666666666599</v>
      </c>
      <c r="B783" s="4">
        <f ca="1">IFERROR(__xludf.DUMMYFUNCTION("""COMPUTED_VALUE"""),507.6)</f>
        <v>507.6</v>
      </c>
      <c r="C783" s="5">
        <f t="shared" ca="1" si="0"/>
        <v>-1.0133665714805316E-2</v>
      </c>
    </row>
    <row r="784" spans="1:3" ht="13" x14ac:dyDescent="0.15">
      <c r="A784" s="3">
        <f ca="1">IFERROR(__xludf.DUMMYFUNCTION("""COMPUTED_VALUE"""),41575.6666666666)</f>
        <v>41575.666666666599</v>
      </c>
      <c r="B784" s="4">
        <f ca="1">IFERROR(__xludf.DUMMYFUNCTION("""COMPUTED_VALUE"""),507.5)</f>
        <v>507.5</v>
      </c>
      <c r="C784" s="5">
        <f t="shared" ca="1" si="0"/>
        <v>-1.9702492429028191E-4</v>
      </c>
    </row>
    <row r="785" spans="1:3" ht="13" x14ac:dyDescent="0.15">
      <c r="A785" s="3">
        <f ca="1">IFERROR(__xludf.DUMMYFUNCTION("""COMPUTED_VALUE"""),41576.6666666666)</f>
        <v>41576.666666666599</v>
      </c>
      <c r="B785" s="4">
        <f ca="1">IFERROR(__xludf.DUMMYFUNCTION("""COMPUTED_VALUE"""),518.12)</f>
        <v>518.12</v>
      </c>
      <c r="C785" s="5">
        <f t="shared" ca="1" si="0"/>
        <v>2.0710164746112952E-2</v>
      </c>
    </row>
    <row r="786" spans="1:3" ht="13" x14ac:dyDescent="0.15">
      <c r="A786" s="3">
        <f ca="1">IFERROR(__xludf.DUMMYFUNCTION("""COMPUTED_VALUE"""),41577.6666666666)</f>
        <v>41577.666666666599</v>
      </c>
      <c r="B786" s="4">
        <f ca="1">IFERROR(__xludf.DUMMYFUNCTION("""COMPUTED_VALUE"""),515.21)</f>
        <v>515.21</v>
      </c>
      <c r="C786" s="5">
        <f t="shared" ca="1" si="0"/>
        <v>-5.6322911223935035E-3</v>
      </c>
    </row>
    <row r="787" spans="1:3" ht="13" x14ac:dyDescent="0.15">
      <c r="A787" s="3">
        <f ca="1">IFERROR(__xludf.DUMMYFUNCTION("""COMPUTED_VALUE"""),41578.6666666666)</f>
        <v>41578.666666666599</v>
      </c>
      <c r="B787" s="4">
        <f ca="1">IFERROR(__xludf.DUMMYFUNCTION("""COMPUTED_VALUE"""),515.29)</f>
        <v>515.29</v>
      </c>
      <c r="C787" s="5">
        <f t="shared" ca="1" si="0"/>
        <v>1.5526443505208245E-4</v>
      </c>
    </row>
    <row r="788" spans="1:3" ht="13" x14ac:dyDescent="0.15">
      <c r="A788" s="3">
        <f ca="1">IFERROR(__xludf.DUMMYFUNCTION("""COMPUTED_VALUE"""),41579.6666666666)</f>
        <v>41579.666666666599</v>
      </c>
      <c r="B788" s="4">
        <f ca="1">IFERROR(__xludf.DUMMYFUNCTION("""COMPUTED_VALUE"""),513.52)</f>
        <v>513.52</v>
      </c>
      <c r="C788" s="5">
        <f t="shared" ca="1" si="0"/>
        <v>-3.4408719711912453E-3</v>
      </c>
    </row>
    <row r="789" spans="1:3" ht="13" x14ac:dyDescent="0.15">
      <c r="A789" s="3">
        <f ca="1">IFERROR(__xludf.DUMMYFUNCTION("""COMPUTED_VALUE"""),41582.6666666666)</f>
        <v>41582.666666666599</v>
      </c>
      <c r="B789" s="4">
        <f ca="1">IFERROR(__xludf.DUMMYFUNCTION("""COMPUTED_VALUE"""),513.05)</f>
        <v>513.04999999999995</v>
      </c>
      <c r="C789" s="5">
        <f t="shared" ca="1" si="0"/>
        <v>-9.156706953046686E-4</v>
      </c>
    </row>
    <row r="790" spans="1:3" ht="13" x14ac:dyDescent="0.15">
      <c r="A790" s="3">
        <f ca="1">IFERROR(__xludf.DUMMYFUNCTION("""COMPUTED_VALUE"""),41583.6666666666)</f>
        <v>41583.666666666599</v>
      </c>
      <c r="B790" s="4">
        <f ca="1">IFERROR(__xludf.DUMMYFUNCTION("""COMPUTED_VALUE"""),510.76)</f>
        <v>510.76</v>
      </c>
      <c r="C790" s="5">
        <f t="shared" ca="1" si="0"/>
        <v>-4.4734937517376793E-3</v>
      </c>
    </row>
    <row r="791" spans="1:3" ht="13" x14ac:dyDescent="0.15">
      <c r="A791" s="3">
        <f ca="1">IFERROR(__xludf.DUMMYFUNCTION("""COMPUTED_VALUE"""),41584.6666666666)</f>
        <v>41584.666666666599</v>
      </c>
      <c r="B791" s="4">
        <f ca="1">IFERROR(__xludf.DUMMYFUNCTION("""COMPUTED_VALUE"""),511.37)</f>
        <v>511.37</v>
      </c>
      <c r="C791" s="5">
        <f t="shared" ca="1" si="0"/>
        <v>1.1935860847830553E-3</v>
      </c>
    </row>
    <row r="792" spans="1:3" ht="13" x14ac:dyDescent="0.15">
      <c r="A792" s="3">
        <f ca="1">IFERROR(__xludf.DUMMYFUNCTION("""COMPUTED_VALUE"""),41585.6666666666)</f>
        <v>41585.666666666599</v>
      </c>
      <c r="B792" s="4">
        <f ca="1">IFERROR(__xludf.DUMMYFUNCTION("""COMPUTED_VALUE"""),503.97)</f>
        <v>503.97</v>
      </c>
      <c r="C792" s="5">
        <f t="shared" ca="1" si="0"/>
        <v>-1.4576656151030693E-2</v>
      </c>
    </row>
    <row r="793" spans="1:3" ht="13" x14ac:dyDescent="0.15">
      <c r="A793" s="3">
        <f ca="1">IFERROR(__xludf.DUMMYFUNCTION("""COMPUTED_VALUE"""),41586.6666666666)</f>
        <v>41586.666666666599</v>
      </c>
      <c r="B793" s="4">
        <f ca="1">IFERROR(__xludf.DUMMYFUNCTION("""COMPUTED_VALUE"""),508.01)</f>
        <v>508.01</v>
      </c>
      <c r="C793" s="5">
        <f t="shared" ca="1" si="0"/>
        <v>7.9843899338714192E-3</v>
      </c>
    </row>
    <row r="794" spans="1:3" ht="13" x14ac:dyDescent="0.15">
      <c r="A794" s="3">
        <f ca="1">IFERROR(__xludf.DUMMYFUNCTION("""COMPUTED_VALUE"""),41589.6666666666)</f>
        <v>41589.666666666599</v>
      </c>
      <c r="B794" s="4">
        <f ca="1">IFERROR(__xludf.DUMMYFUNCTION("""COMPUTED_VALUE"""),505.29)</f>
        <v>505.29</v>
      </c>
      <c r="C794" s="5">
        <f t="shared" ca="1" si="0"/>
        <v>-5.3686105456997504E-3</v>
      </c>
    </row>
    <row r="795" spans="1:3" ht="13" x14ac:dyDescent="0.15">
      <c r="A795" s="3">
        <f ca="1">IFERROR(__xludf.DUMMYFUNCTION("""COMPUTED_VALUE"""),41590.6666666666)</f>
        <v>41590.666666666599</v>
      </c>
      <c r="B795" s="4">
        <f ca="1">IFERROR(__xludf.DUMMYFUNCTION("""COMPUTED_VALUE"""),505.89)</f>
        <v>505.89</v>
      </c>
      <c r="C795" s="5">
        <f t="shared" ca="1" si="0"/>
        <v>1.1867324717985523E-3</v>
      </c>
    </row>
    <row r="796" spans="1:3" ht="13" x14ac:dyDescent="0.15">
      <c r="A796" s="3">
        <f ca="1">IFERROR(__xludf.DUMMYFUNCTION("""COMPUTED_VALUE"""),41591.6666666666)</f>
        <v>41591.666666666599</v>
      </c>
      <c r="B796" s="4">
        <f ca="1">IFERROR(__xludf.DUMMYFUNCTION("""COMPUTED_VALUE"""),516.23)</f>
        <v>516.23</v>
      </c>
      <c r="C796" s="5">
        <f t="shared" ca="1" si="0"/>
        <v>2.0233148254493946E-2</v>
      </c>
    </row>
    <row r="797" spans="1:3" ht="13" x14ac:dyDescent="0.15">
      <c r="A797" s="3">
        <f ca="1">IFERROR(__xludf.DUMMYFUNCTION("""COMPUTED_VALUE"""),41592.6666666666)</f>
        <v>41592.666666666599</v>
      </c>
      <c r="B797" s="4">
        <f ca="1">IFERROR(__xludf.DUMMYFUNCTION("""COMPUTED_VALUE"""),517.61)</f>
        <v>517.61</v>
      </c>
      <c r="C797" s="5">
        <f t="shared" ca="1" si="0"/>
        <v>2.6696603335425364E-3</v>
      </c>
    </row>
    <row r="798" spans="1:3" ht="13" x14ac:dyDescent="0.15">
      <c r="A798" s="3">
        <f ca="1">IFERROR(__xludf.DUMMYFUNCTION("""COMPUTED_VALUE"""),41593.6666666666)</f>
        <v>41593.666666666599</v>
      </c>
      <c r="B798" s="4">
        <f ca="1">IFERROR(__xludf.DUMMYFUNCTION("""COMPUTED_VALUE"""),516.78)</f>
        <v>516.78</v>
      </c>
      <c r="C798" s="5">
        <f t="shared" ca="1" si="0"/>
        <v>-1.6048109091022545E-3</v>
      </c>
    </row>
    <row r="799" spans="1:3" ht="13" x14ac:dyDescent="0.15">
      <c r="A799" s="3">
        <f ca="1">IFERROR(__xludf.DUMMYFUNCTION("""COMPUTED_VALUE"""),41596.6666666666)</f>
        <v>41596.666666666599</v>
      </c>
      <c r="B799" s="4">
        <f ca="1">IFERROR(__xludf.DUMMYFUNCTION("""COMPUTED_VALUE"""),515.77)</f>
        <v>515.77</v>
      </c>
      <c r="C799" s="5">
        <f t="shared" ca="1" si="0"/>
        <v>-1.9563223516970455E-3</v>
      </c>
    </row>
    <row r="800" spans="1:3" ht="13" x14ac:dyDescent="0.15">
      <c r="A800" s="3">
        <f ca="1">IFERROR(__xludf.DUMMYFUNCTION("""COMPUTED_VALUE"""),41597.6666666666)</f>
        <v>41597.666666666599</v>
      </c>
      <c r="B800" s="4">
        <f ca="1">IFERROR(__xludf.DUMMYFUNCTION("""COMPUTED_VALUE"""),512.6)</f>
        <v>512.6</v>
      </c>
      <c r="C800" s="5">
        <f t="shared" ca="1" si="0"/>
        <v>-6.1651157474693786E-3</v>
      </c>
    </row>
    <row r="801" spans="1:3" ht="13" x14ac:dyDescent="0.15">
      <c r="A801" s="3">
        <f ca="1">IFERROR(__xludf.DUMMYFUNCTION("""COMPUTED_VALUE"""),41598.6666666666)</f>
        <v>41598.666666666599</v>
      </c>
      <c r="B801" s="4">
        <f ca="1">IFERROR(__xludf.DUMMYFUNCTION("""COMPUTED_VALUE"""),511.15)</f>
        <v>511.15</v>
      </c>
      <c r="C801" s="5">
        <f t="shared" ca="1" si="0"/>
        <v>-2.8327247269477394E-3</v>
      </c>
    </row>
    <row r="802" spans="1:3" ht="13" x14ac:dyDescent="0.15">
      <c r="A802" s="3">
        <f ca="1">IFERROR(__xludf.DUMMYFUNCTION("""COMPUTED_VALUE"""),41599.6666666666)</f>
        <v>41599.666666666599</v>
      </c>
      <c r="B802" s="4">
        <f ca="1">IFERROR(__xludf.DUMMYFUNCTION("""COMPUTED_VALUE"""),517.03)</f>
        <v>517.03</v>
      </c>
      <c r="C802" s="5">
        <f t="shared" ca="1" si="0"/>
        <v>1.1437810701203947E-2</v>
      </c>
    </row>
    <row r="803" spans="1:3" ht="13" x14ac:dyDescent="0.15">
      <c r="A803" s="3">
        <f ca="1">IFERROR(__xludf.DUMMYFUNCTION("""COMPUTED_VALUE"""),41600.6666666666)</f>
        <v>41600.666666666599</v>
      </c>
      <c r="B803" s="4">
        <f ca="1">IFERROR(__xludf.DUMMYFUNCTION("""COMPUTED_VALUE"""),515.94)</f>
        <v>515.94000000000005</v>
      </c>
      <c r="C803" s="5">
        <f t="shared" ca="1" si="0"/>
        <v>-2.1104202533666454E-3</v>
      </c>
    </row>
    <row r="804" spans="1:3" ht="13" x14ac:dyDescent="0.15">
      <c r="A804" s="3">
        <f ca="1">IFERROR(__xludf.DUMMYFUNCTION("""COMPUTED_VALUE"""),41603.6666666666)</f>
        <v>41603.666666666599</v>
      </c>
      <c r="B804" s="4">
        <f ca="1">IFERROR(__xludf.DUMMYFUNCTION("""COMPUTED_VALUE"""),522.96)</f>
        <v>522.96</v>
      </c>
      <c r="C804" s="5">
        <f t="shared" ca="1" si="0"/>
        <v>1.3514499653613961E-2</v>
      </c>
    </row>
    <row r="805" spans="1:3" ht="13" x14ac:dyDescent="0.15">
      <c r="A805" s="3">
        <f ca="1">IFERROR(__xludf.DUMMYFUNCTION("""COMPUTED_VALUE"""),41604.6666666666)</f>
        <v>41604.666666666599</v>
      </c>
      <c r="B805" s="4">
        <f ca="1">IFERROR(__xludf.DUMMYFUNCTION("""COMPUTED_VALUE"""),529.2)</f>
        <v>529.20000000000005</v>
      </c>
      <c r="C805" s="5">
        <f t="shared" ca="1" si="0"/>
        <v>1.1861452936326542E-2</v>
      </c>
    </row>
    <row r="806" spans="1:3" ht="13" x14ac:dyDescent="0.15">
      <c r="A806" s="3">
        <f ca="1">IFERROR(__xludf.DUMMYFUNCTION("""COMPUTED_VALUE"""),41605.6666666666)</f>
        <v>41605.666666666599</v>
      </c>
      <c r="B806" s="4">
        <f ca="1">IFERROR(__xludf.DUMMYFUNCTION("""COMPUTED_VALUE"""),531.55)</f>
        <v>531.54999999999995</v>
      </c>
      <c r="C806" s="5">
        <f t="shared" ca="1" si="0"/>
        <v>4.4308344938133867E-3</v>
      </c>
    </row>
    <row r="807" spans="1:3" ht="13" x14ac:dyDescent="0.15">
      <c r="A807" s="3">
        <f ca="1">IFERROR(__xludf.DUMMYFUNCTION("""COMPUTED_VALUE"""),41607.6666666666)</f>
        <v>41607.666666666599</v>
      </c>
      <c r="B807" s="4">
        <f ca="1">IFERROR(__xludf.DUMMYFUNCTION("""COMPUTED_VALUE"""),529.79)</f>
        <v>529.79</v>
      </c>
      <c r="C807" s="5">
        <f t="shared" ca="1" si="0"/>
        <v>-3.3165651219683612E-3</v>
      </c>
    </row>
    <row r="808" spans="1:3" ht="13" x14ac:dyDescent="0.15">
      <c r="A808" s="3">
        <f ca="1">IFERROR(__xludf.DUMMYFUNCTION("""COMPUTED_VALUE"""),41610.6666666666)</f>
        <v>41610.666666666599</v>
      </c>
      <c r="B808" s="4">
        <f ca="1">IFERROR(__xludf.DUMMYFUNCTION("""COMPUTED_VALUE"""),527.24)</f>
        <v>527.24</v>
      </c>
      <c r="C808" s="5">
        <f t="shared" ca="1" si="0"/>
        <v>-4.8248487683807692E-3</v>
      </c>
    </row>
    <row r="809" spans="1:3" ht="13" x14ac:dyDescent="0.15">
      <c r="A809" s="3">
        <f ca="1">IFERROR(__xludf.DUMMYFUNCTION("""COMPUTED_VALUE"""),41611.6666666666)</f>
        <v>41611.666666666599</v>
      </c>
      <c r="B809" s="4">
        <f ca="1">IFERROR(__xludf.DUMMYFUNCTION("""COMPUTED_VALUE"""),526.63)</f>
        <v>526.63</v>
      </c>
      <c r="C809" s="5">
        <f t="shared" ca="1" si="0"/>
        <v>-1.157638168129054E-3</v>
      </c>
    </row>
    <row r="810" spans="1:3" ht="13" x14ac:dyDescent="0.15">
      <c r="A810" s="3">
        <f ca="1">IFERROR(__xludf.DUMMYFUNCTION("""COMPUTED_VALUE"""),41612.6666666666)</f>
        <v>41612.666666666599</v>
      </c>
      <c r="B810" s="4">
        <f ca="1">IFERROR(__xludf.DUMMYFUNCTION("""COMPUTED_VALUE"""),529.09)</f>
        <v>529.09</v>
      </c>
      <c r="C810" s="5">
        <f t="shared" ca="1" si="0"/>
        <v>4.6603350364426204E-3</v>
      </c>
    </row>
    <row r="811" spans="1:3" ht="13" x14ac:dyDescent="0.15">
      <c r="A811" s="3">
        <f ca="1">IFERROR(__xludf.DUMMYFUNCTION("""COMPUTED_VALUE"""),41613.6666666666)</f>
        <v>41613.666666666599</v>
      </c>
      <c r="B811" s="4">
        <f ca="1">IFERROR(__xludf.DUMMYFUNCTION("""COMPUTED_VALUE"""),528.66)</f>
        <v>528.66</v>
      </c>
      <c r="C811" s="5">
        <f t="shared" ca="1" si="0"/>
        <v>-8.1304660588518067E-4</v>
      </c>
    </row>
    <row r="812" spans="1:3" ht="13" x14ac:dyDescent="0.15">
      <c r="A812" s="3">
        <f ca="1">IFERROR(__xludf.DUMMYFUNCTION("""COMPUTED_VALUE"""),41614.6666666666)</f>
        <v>41614.666666666599</v>
      </c>
      <c r="B812" s="4">
        <f ca="1">IFERROR(__xludf.DUMMYFUNCTION("""COMPUTED_VALUE"""),534.93)</f>
        <v>534.92999999999995</v>
      </c>
      <c r="C812" s="5">
        <f t="shared" ca="1" si="0"/>
        <v>1.1790394107371491E-2</v>
      </c>
    </row>
    <row r="813" spans="1:3" ht="13" x14ac:dyDescent="0.15">
      <c r="A813" s="3">
        <f ca="1">IFERROR(__xludf.DUMMYFUNCTION("""COMPUTED_VALUE"""),41617.6666666666)</f>
        <v>41617.666666666599</v>
      </c>
      <c r="B813" s="4">
        <f ca="1">IFERROR(__xludf.DUMMYFUNCTION("""COMPUTED_VALUE"""),539.07)</f>
        <v>539.07000000000005</v>
      </c>
      <c r="C813" s="5">
        <f t="shared" ca="1" si="0"/>
        <v>7.7095353924072222E-3</v>
      </c>
    </row>
    <row r="814" spans="1:3" ht="13" x14ac:dyDescent="0.15">
      <c r="A814" s="3">
        <f ca="1">IFERROR(__xludf.DUMMYFUNCTION("""COMPUTED_VALUE"""),41618.6666666666)</f>
        <v>41618.666666666599</v>
      </c>
      <c r="B814" s="4">
        <f ca="1">IFERROR(__xludf.DUMMYFUNCTION("""COMPUTED_VALUE"""),542.33)</f>
        <v>542.33000000000004</v>
      </c>
      <c r="C814" s="5">
        <f t="shared" ca="1" si="0"/>
        <v>6.0292396440679314E-3</v>
      </c>
    </row>
    <row r="815" spans="1:3" ht="13" x14ac:dyDescent="0.15">
      <c r="A815" s="3">
        <f ca="1">IFERROR(__xludf.DUMMYFUNCTION("""COMPUTED_VALUE"""),41619.6666666666)</f>
        <v>41619.666666666599</v>
      </c>
      <c r="B815" s="4">
        <f ca="1">IFERROR(__xludf.DUMMYFUNCTION("""COMPUTED_VALUE"""),538.64)</f>
        <v>538.64</v>
      </c>
      <c r="C815" s="5">
        <f t="shared" ca="1" si="0"/>
        <v>-6.8272280135145543E-3</v>
      </c>
    </row>
    <row r="816" spans="1:3" ht="13" x14ac:dyDescent="0.15">
      <c r="A816" s="3">
        <f ca="1">IFERROR(__xludf.DUMMYFUNCTION("""COMPUTED_VALUE"""),41620.6666666666)</f>
        <v>41620.666666666599</v>
      </c>
      <c r="B816" s="4">
        <f ca="1">IFERROR(__xludf.DUMMYFUNCTION("""COMPUTED_VALUE"""),534.98)</f>
        <v>534.98</v>
      </c>
      <c r="C816" s="5">
        <f t="shared" ca="1" si="0"/>
        <v>-6.8180812173572773E-3</v>
      </c>
    </row>
    <row r="817" spans="1:3" ht="13" x14ac:dyDescent="0.15">
      <c r="A817" s="3">
        <f ca="1">IFERROR(__xludf.DUMMYFUNCTION("""COMPUTED_VALUE"""),41621.6666666666)</f>
        <v>41621.666666666599</v>
      </c>
      <c r="B817" s="4">
        <f ca="1">IFERROR(__xludf.DUMMYFUNCTION("""COMPUTED_VALUE"""),530.39)</f>
        <v>530.39</v>
      </c>
      <c r="C817" s="5">
        <f t="shared" ca="1" si="0"/>
        <v>-8.6167780210728157E-3</v>
      </c>
    </row>
    <row r="818" spans="1:3" ht="13" x14ac:dyDescent="0.15">
      <c r="A818" s="3">
        <f ca="1">IFERROR(__xludf.DUMMYFUNCTION("""COMPUTED_VALUE"""),41624.6666666666)</f>
        <v>41624.666666666599</v>
      </c>
      <c r="B818" s="4">
        <f ca="1">IFERROR(__xludf.DUMMYFUNCTION("""COMPUTED_VALUE"""),536.49)</f>
        <v>536.49</v>
      </c>
      <c r="C818" s="5">
        <f t="shared" ca="1" si="0"/>
        <v>1.1435337569459204E-2</v>
      </c>
    </row>
    <row r="819" spans="1:3" ht="13" x14ac:dyDescent="0.15">
      <c r="A819" s="3">
        <f ca="1">IFERROR(__xludf.DUMMYFUNCTION("""COMPUTED_VALUE"""),41625.6666666666)</f>
        <v>41625.666666666599</v>
      </c>
      <c r="B819" s="4">
        <f ca="1">IFERROR(__xludf.DUMMYFUNCTION("""COMPUTED_VALUE"""),534.92)</f>
        <v>534.91999999999996</v>
      </c>
      <c r="C819" s="5">
        <f t="shared" ca="1" si="0"/>
        <v>-2.9307195634588269E-3</v>
      </c>
    </row>
    <row r="820" spans="1:3" ht="13" x14ac:dyDescent="0.15">
      <c r="A820" s="3">
        <f ca="1">IFERROR(__xludf.DUMMYFUNCTION("""COMPUTED_VALUE"""),41626.6666666666)</f>
        <v>41626.666666666599</v>
      </c>
      <c r="B820" s="4">
        <f ca="1">IFERROR(__xludf.DUMMYFUNCTION("""COMPUTED_VALUE"""),542.37)</f>
        <v>542.37</v>
      </c>
      <c r="C820" s="5">
        <f t="shared" ca="1" si="0"/>
        <v>1.3831222357437006E-2</v>
      </c>
    </row>
    <row r="821" spans="1:3" ht="13" x14ac:dyDescent="0.15">
      <c r="A821" s="3">
        <f ca="1">IFERROR(__xludf.DUMMYFUNCTION("""COMPUTED_VALUE"""),41627.6666666666)</f>
        <v>41627.666666666599</v>
      </c>
      <c r="B821" s="4">
        <f ca="1">IFERROR(__xludf.DUMMYFUNCTION("""COMPUTED_VALUE"""),543.11)</f>
        <v>543.11</v>
      </c>
      <c r="C821" s="5">
        <f t="shared" ca="1" si="0"/>
        <v>1.363452324572513E-3</v>
      </c>
    </row>
    <row r="822" spans="1:3" ht="13" x14ac:dyDescent="0.15">
      <c r="A822" s="3">
        <f ca="1">IFERROR(__xludf.DUMMYFUNCTION("""COMPUTED_VALUE"""),41628.6666666666)</f>
        <v>41628.666666666599</v>
      </c>
      <c r="B822" s="4">
        <f ca="1">IFERROR(__xludf.DUMMYFUNCTION("""COMPUTED_VALUE"""),550.3)</f>
        <v>550.29999999999995</v>
      </c>
      <c r="C822" s="5">
        <f t="shared" ca="1" si="0"/>
        <v>1.315170637910771E-2</v>
      </c>
    </row>
    <row r="823" spans="1:3" ht="13" x14ac:dyDescent="0.15">
      <c r="A823" s="3">
        <f ca="1">IFERROR(__xludf.DUMMYFUNCTION("""COMPUTED_VALUE"""),41631.6666666666)</f>
        <v>41631.666666666599</v>
      </c>
      <c r="B823" s="4">
        <f ca="1">IFERROR(__xludf.DUMMYFUNCTION("""COMPUTED_VALUE"""),557.54)</f>
        <v>557.54</v>
      </c>
      <c r="C823" s="5">
        <f t="shared" ca="1" si="0"/>
        <v>1.3070665573656867E-2</v>
      </c>
    </row>
    <row r="824" spans="1:3" ht="13" x14ac:dyDescent="0.15">
      <c r="A824" s="3">
        <f ca="1">IFERROR(__xludf.DUMMYFUNCTION("""COMPUTED_VALUE"""),41632.6666666666)</f>
        <v>41632.666666666599</v>
      </c>
      <c r="B824" s="4">
        <f ca="1">IFERROR(__xludf.DUMMYFUNCTION("""COMPUTED_VALUE"""),555.91)</f>
        <v>555.91</v>
      </c>
      <c r="C824" s="5">
        <f t="shared" ca="1" si="0"/>
        <v>-2.9278389948284959E-3</v>
      </c>
    </row>
    <row r="825" spans="1:3" ht="13" x14ac:dyDescent="0.15">
      <c r="A825" s="3">
        <f ca="1">IFERROR(__xludf.DUMMYFUNCTION("""COMPUTED_VALUE"""),41634.6666666666)</f>
        <v>41634.666666666599</v>
      </c>
      <c r="B825" s="4">
        <f ca="1">IFERROR(__xludf.DUMMYFUNCTION("""COMPUTED_VALUE"""),558.73)</f>
        <v>558.73</v>
      </c>
      <c r="C825" s="5">
        <f t="shared" ca="1" si="0"/>
        <v>5.0599404591651822E-3</v>
      </c>
    </row>
    <row r="826" spans="1:3" ht="13" x14ac:dyDescent="0.15">
      <c r="A826" s="3">
        <f ca="1">IFERROR(__xludf.DUMMYFUNCTION("""COMPUTED_VALUE"""),41635.6666666666)</f>
        <v>41635.666666666599</v>
      </c>
      <c r="B826" s="4">
        <f ca="1">IFERROR(__xludf.DUMMYFUNCTION("""COMPUTED_VALUE"""),559.2)</f>
        <v>559.20000000000005</v>
      </c>
      <c r="C826" s="5">
        <f t="shared" ca="1" si="0"/>
        <v>8.4083981589428433E-4</v>
      </c>
    </row>
    <row r="827" spans="1:3" ht="13" x14ac:dyDescent="0.15">
      <c r="A827" s="3">
        <f ca="1">IFERROR(__xludf.DUMMYFUNCTION("""COMPUTED_VALUE"""),41638.6666666666)</f>
        <v>41638.666666666599</v>
      </c>
      <c r="B827" s="4">
        <f ca="1">IFERROR(__xludf.DUMMYFUNCTION("""COMPUTED_VALUE"""),554.73)</f>
        <v>554.73</v>
      </c>
      <c r="C827" s="5">
        <f t="shared" ca="1" si="0"/>
        <v>-8.0256820325961022E-3</v>
      </c>
    </row>
    <row r="828" spans="1:3" ht="13" x14ac:dyDescent="0.15">
      <c r="A828" s="3">
        <f ca="1">IFERROR(__xludf.DUMMYFUNCTION("""COMPUTED_VALUE"""),41639.6666666666)</f>
        <v>41639.666666666599</v>
      </c>
      <c r="B828" s="4">
        <f ca="1">IFERROR(__xludf.DUMMYFUNCTION("""COMPUTED_VALUE"""),560.35)</f>
        <v>560.35</v>
      </c>
      <c r="C828" s="5">
        <f t="shared" ca="1" si="0"/>
        <v>1.0080079611032494E-2</v>
      </c>
    </row>
    <row r="829" spans="1:3" ht="13" x14ac:dyDescent="0.15">
      <c r="A829" s="3">
        <f ca="1">IFERROR(__xludf.DUMMYFUNCTION("""COMPUTED_VALUE"""),41641.6666666666)</f>
        <v>41641.666666666599</v>
      </c>
      <c r="B829" s="4">
        <f ca="1">IFERROR(__xludf.DUMMYFUNCTION("""COMPUTED_VALUE"""),556.55)</f>
        <v>556.54999999999995</v>
      </c>
      <c r="C829" s="5">
        <f t="shared" ca="1" si="0"/>
        <v>-6.8045745588022604E-3</v>
      </c>
    </row>
    <row r="830" spans="1:3" ht="13" x14ac:dyDescent="0.15">
      <c r="A830" s="3">
        <f ca="1">IFERROR(__xludf.DUMMYFUNCTION("""COMPUTED_VALUE"""),41642.6666666666)</f>
        <v>41642.666666666599</v>
      </c>
      <c r="B830" s="4">
        <f ca="1">IFERROR(__xludf.DUMMYFUNCTION("""COMPUTED_VALUE"""),552.5)</f>
        <v>552.5</v>
      </c>
      <c r="C830" s="5">
        <f t="shared" ca="1" si="0"/>
        <v>-7.3035805473268796E-3</v>
      </c>
    </row>
    <row r="831" spans="1:3" ht="13" x14ac:dyDescent="0.15">
      <c r="A831" s="3">
        <f ca="1">IFERROR(__xludf.DUMMYFUNCTION("""COMPUTED_VALUE"""),41645.6666666666)</f>
        <v>41645.666666666599</v>
      </c>
      <c r="B831" s="4">
        <f ca="1">IFERROR(__xludf.DUMMYFUNCTION("""COMPUTED_VALUE"""),558.66)</f>
        <v>558.66</v>
      </c>
      <c r="C831" s="5">
        <f t="shared" ca="1" si="0"/>
        <v>1.1087625736585434E-2</v>
      </c>
    </row>
    <row r="832" spans="1:3" ht="13" x14ac:dyDescent="0.15">
      <c r="A832" s="3">
        <f ca="1">IFERROR(__xludf.DUMMYFUNCTION("""COMPUTED_VALUE"""),41646.6666666666)</f>
        <v>41646.666666666599</v>
      </c>
      <c r="B832" s="4">
        <f ca="1">IFERROR(__xludf.DUMMYFUNCTION("""COMPUTED_VALUE"""),569.42)</f>
        <v>569.41999999999996</v>
      </c>
      <c r="C832" s="5">
        <f t="shared" ca="1" si="0"/>
        <v>1.9077239791245048E-2</v>
      </c>
    </row>
    <row r="833" spans="1:3" ht="13" x14ac:dyDescent="0.15">
      <c r="A833" s="3">
        <f ca="1">IFERROR(__xludf.DUMMYFUNCTION("""COMPUTED_VALUE"""),41647.6666666666)</f>
        <v>41647.666666666599</v>
      </c>
      <c r="B833" s="4">
        <f ca="1">IFERROR(__xludf.DUMMYFUNCTION("""COMPUTED_VALUE"""),570.61)</f>
        <v>570.61</v>
      </c>
      <c r="C833" s="5">
        <f t="shared" ca="1" si="0"/>
        <v>2.0876651179400321E-3</v>
      </c>
    </row>
    <row r="834" spans="1:3" ht="13" x14ac:dyDescent="0.15">
      <c r="A834" s="3">
        <f ca="1">IFERROR(__xludf.DUMMYFUNCTION("""COMPUTED_VALUE"""),41648.6666666666)</f>
        <v>41648.666666666599</v>
      </c>
      <c r="B834" s="4">
        <f ca="1">IFERROR(__xludf.DUMMYFUNCTION("""COMPUTED_VALUE"""),565.12)</f>
        <v>565.12</v>
      </c>
      <c r="C834" s="5">
        <f t="shared" ca="1" si="0"/>
        <v>-9.6678660621380766E-3</v>
      </c>
    </row>
    <row r="835" spans="1:3" ht="13" x14ac:dyDescent="0.15">
      <c r="A835" s="3">
        <f ca="1">IFERROR(__xludf.DUMMYFUNCTION("""COMPUTED_VALUE"""),41649.6666666666)</f>
        <v>41649.666666666599</v>
      </c>
      <c r="B835" s="4">
        <f ca="1">IFERROR(__xludf.DUMMYFUNCTION("""COMPUTED_VALUE"""),565.09)</f>
        <v>565.09</v>
      </c>
      <c r="C835" s="5">
        <f t="shared" ca="1" si="0"/>
        <v>-5.3087479330442256E-5</v>
      </c>
    </row>
    <row r="836" spans="1:3" ht="13" x14ac:dyDescent="0.15">
      <c r="A836" s="3">
        <f ca="1">IFERROR(__xludf.DUMMYFUNCTION("""COMPUTED_VALUE"""),41652.6666666666)</f>
        <v>41652.666666666599</v>
      </c>
      <c r="B836" s="4">
        <f ca="1">IFERROR(__xludf.DUMMYFUNCTION("""COMPUTED_VALUE"""),561.49)</f>
        <v>561.49</v>
      </c>
      <c r="C836" s="5">
        <f t="shared" ca="1" si="0"/>
        <v>-6.391045915304836E-3</v>
      </c>
    </row>
    <row r="837" spans="1:3" ht="13" x14ac:dyDescent="0.15">
      <c r="A837" s="3">
        <f ca="1">IFERROR(__xludf.DUMMYFUNCTION("""COMPUTED_VALUE"""),41653.6666666666)</f>
        <v>41653.666666666599</v>
      </c>
      <c r="B837" s="4">
        <f ca="1">IFERROR(__xludf.DUMMYFUNCTION("""COMPUTED_VALUE"""),574.7)</f>
        <v>574.70000000000005</v>
      </c>
      <c r="C837" s="5">
        <f t="shared" ca="1" si="0"/>
        <v>2.3254200932790722E-2</v>
      </c>
    </row>
    <row r="838" spans="1:3" ht="13" x14ac:dyDescent="0.15">
      <c r="A838" s="3">
        <f ca="1">IFERROR(__xludf.DUMMYFUNCTION("""COMPUTED_VALUE"""),41654.6666666666)</f>
        <v>41654.666666666599</v>
      </c>
      <c r="B838" s="4">
        <f ca="1">IFERROR(__xludf.DUMMYFUNCTION("""COMPUTED_VALUE"""),574.3)</f>
        <v>574.29999999999995</v>
      </c>
      <c r="C838" s="5">
        <f t="shared" ca="1" si="0"/>
        <v>-6.9625764344511992E-4</v>
      </c>
    </row>
    <row r="839" spans="1:3" ht="13" x14ac:dyDescent="0.15">
      <c r="A839" s="3">
        <f ca="1">IFERROR(__xludf.DUMMYFUNCTION("""COMPUTED_VALUE"""),41655.6666666666)</f>
        <v>41655.666666666599</v>
      </c>
      <c r="B839" s="4">
        <f ca="1">IFERROR(__xludf.DUMMYFUNCTION("""COMPUTED_VALUE"""),578.11)</f>
        <v>578.11</v>
      </c>
      <c r="C839" s="5">
        <f t="shared" ca="1" si="0"/>
        <v>6.6122541138911453E-3</v>
      </c>
    </row>
    <row r="840" spans="1:3" ht="13" x14ac:dyDescent="0.15">
      <c r="A840" s="3">
        <f ca="1">IFERROR(__xludf.DUMMYFUNCTION("""COMPUTED_VALUE"""),41656.6666666666)</f>
        <v>41656.666666666599</v>
      </c>
      <c r="B840" s="4">
        <f ca="1">IFERROR(__xludf.DUMMYFUNCTION("""COMPUTED_VALUE"""),575.26)</f>
        <v>575.26</v>
      </c>
      <c r="C840" s="5">
        <f t="shared" ca="1" si="0"/>
        <v>-4.9420494735648111E-3</v>
      </c>
    </row>
    <row r="841" spans="1:3" ht="13" x14ac:dyDescent="0.15">
      <c r="A841" s="3">
        <f ca="1">IFERROR(__xludf.DUMMYFUNCTION("""COMPUTED_VALUE"""),41660.6666666666)</f>
        <v>41660.666666666599</v>
      </c>
      <c r="B841" s="4">
        <f ca="1">IFERROR(__xludf.DUMMYFUNCTION("""COMPUTED_VALUE"""),581.85)</f>
        <v>581.85</v>
      </c>
      <c r="C841" s="5">
        <f t="shared" ca="1" si="0"/>
        <v>1.1390570043508968E-2</v>
      </c>
    </row>
    <row r="842" spans="1:3" ht="13" x14ac:dyDescent="0.15">
      <c r="A842" s="3">
        <f ca="1">IFERROR(__xludf.DUMMYFUNCTION("""COMPUTED_VALUE"""),41661.6666666666)</f>
        <v>41661.666666666599</v>
      </c>
      <c r="B842" s="4">
        <f ca="1">IFERROR(__xludf.DUMMYFUNCTION("""COMPUTED_VALUE"""),582.51)</f>
        <v>582.51</v>
      </c>
      <c r="C842" s="5">
        <f t="shared" ca="1" si="0"/>
        <v>1.1336701203862245E-3</v>
      </c>
    </row>
    <row r="843" spans="1:3" ht="13" x14ac:dyDescent="0.15">
      <c r="A843" s="3">
        <f ca="1">IFERROR(__xludf.DUMMYFUNCTION("""COMPUTED_VALUE"""),41662.6666666666)</f>
        <v>41662.666666666599</v>
      </c>
      <c r="B843" s="4">
        <f ca="1">IFERROR(__xludf.DUMMYFUNCTION("""COMPUTED_VALUE"""),580.04)</f>
        <v>580.04</v>
      </c>
      <c r="C843" s="5">
        <f t="shared" ca="1" si="0"/>
        <v>-4.2492859947776259E-3</v>
      </c>
    </row>
    <row r="844" spans="1:3" ht="13" x14ac:dyDescent="0.15">
      <c r="A844" s="3">
        <f ca="1">IFERROR(__xludf.DUMMYFUNCTION("""COMPUTED_VALUE"""),41663.6666666666)</f>
        <v>41663.666666666599</v>
      </c>
      <c r="B844" s="4">
        <f ca="1">IFERROR(__xludf.DUMMYFUNCTION("""COMPUTED_VALUE"""),561.91)</f>
        <v>561.91</v>
      </c>
      <c r="C844" s="5">
        <f t="shared" ca="1" si="0"/>
        <v>-3.175537195891287E-2</v>
      </c>
    </row>
    <row r="845" spans="1:3" ht="13" x14ac:dyDescent="0.15">
      <c r="A845" s="3">
        <f ca="1">IFERROR(__xludf.DUMMYFUNCTION("""COMPUTED_VALUE"""),41666.6666666666)</f>
        <v>41666.666666666599</v>
      </c>
      <c r="B845" s="4">
        <f ca="1">IFERROR(__xludf.DUMMYFUNCTION("""COMPUTED_VALUE"""),550.61)</f>
        <v>550.61</v>
      </c>
      <c r="C845" s="5">
        <f t="shared" ca="1" si="0"/>
        <v>-2.0314940172116398E-2</v>
      </c>
    </row>
    <row r="846" spans="1:3" ht="13" x14ac:dyDescent="0.15">
      <c r="A846" s="3">
        <f ca="1">IFERROR(__xludf.DUMMYFUNCTION("""COMPUTED_VALUE"""),41667.6666666666)</f>
        <v>41667.666666666599</v>
      </c>
      <c r="B846" s="4">
        <f ca="1">IFERROR(__xludf.DUMMYFUNCTION("""COMPUTED_VALUE"""),561.5)</f>
        <v>561.5</v>
      </c>
      <c r="C846" s="5">
        <f t="shared" ca="1" si="0"/>
        <v>1.9585019629832702E-2</v>
      </c>
    </row>
    <row r="847" spans="1:3" ht="13" x14ac:dyDescent="0.15">
      <c r="A847" s="3">
        <f ca="1">IFERROR(__xludf.DUMMYFUNCTION("""COMPUTED_VALUE"""),41668.6666666666)</f>
        <v>41668.666666666599</v>
      </c>
      <c r="B847" s="4">
        <f ca="1">IFERROR(__xludf.DUMMYFUNCTION("""COMPUTED_VALUE"""),553.46)</f>
        <v>553.46</v>
      </c>
      <c r="C847" s="5">
        <f t="shared" ca="1" si="0"/>
        <v>-1.4422292030560393E-2</v>
      </c>
    </row>
    <row r="848" spans="1:3" ht="13" x14ac:dyDescent="0.15">
      <c r="A848" s="3">
        <f ca="1">IFERROR(__xludf.DUMMYFUNCTION("""COMPUTED_VALUE"""),41669.6666666666)</f>
        <v>41669.666666666599</v>
      </c>
      <c r="B848" s="4">
        <f ca="1">IFERROR(__xludf.DUMMYFUNCTION("""COMPUTED_VALUE"""),567.69)</f>
        <v>567.69000000000005</v>
      </c>
      <c r="C848" s="5">
        <f t="shared" ca="1" si="0"/>
        <v>2.5386012936131321E-2</v>
      </c>
    </row>
    <row r="849" spans="1:3" ht="13" x14ac:dyDescent="0.15">
      <c r="A849" s="3">
        <f ca="1">IFERROR(__xludf.DUMMYFUNCTION("""COMPUTED_VALUE"""),41670.6666666666)</f>
        <v>41670.666666666599</v>
      </c>
      <c r="B849" s="4">
        <f ca="1">IFERROR(__xludf.DUMMYFUNCTION("""COMPUTED_VALUE"""),590.48)</f>
        <v>590.48</v>
      </c>
      <c r="C849" s="5">
        <f t="shared" ca="1" si="0"/>
        <v>3.9360270377728164E-2</v>
      </c>
    </row>
    <row r="850" spans="1:3" ht="13" x14ac:dyDescent="0.15">
      <c r="A850" s="3">
        <f ca="1">IFERROR(__xludf.DUMMYFUNCTION("""COMPUTED_VALUE"""),41673.6666666666)</f>
        <v>41673.666666666599</v>
      </c>
      <c r="B850" s="4">
        <f ca="1">IFERROR(__xludf.DUMMYFUNCTION("""COMPUTED_VALUE"""),566.71)</f>
        <v>566.71</v>
      </c>
      <c r="C850" s="5">
        <f t="shared" ca="1" si="0"/>
        <v>-4.1088056421090195E-2</v>
      </c>
    </row>
    <row r="851" spans="1:3" ht="13" x14ac:dyDescent="0.15">
      <c r="A851" s="3">
        <f ca="1">IFERROR(__xludf.DUMMYFUNCTION("""COMPUTED_VALUE"""),41674.6666666666)</f>
        <v>41674.666666666599</v>
      </c>
      <c r="B851" s="4">
        <f ca="1">IFERROR(__xludf.DUMMYFUNCTION("""COMPUTED_VALUE"""),569.08)</f>
        <v>569.08000000000004</v>
      </c>
      <c r="C851" s="5">
        <f t="shared" ca="1" si="0"/>
        <v>4.173312742259642E-3</v>
      </c>
    </row>
    <row r="852" spans="1:3" ht="13" x14ac:dyDescent="0.15">
      <c r="A852" s="3">
        <f ca="1">IFERROR(__xludf.DUMMYFUNCTION("""COMPUTED_VALUE"""),41675.6666666666)</f>
        <v>41675.666666666599</v>
      </c>
      <c r="B852" s="4">
        <f ca="1">IFERROR(__xludf.DUMMYFUNCTION("""COMPUTED_VALUE"""),571.6)</f>
        <v>571.6</v>
      </c>
      <c r="C852" s="5">
        <f t="shared" ca="1" si="0"/>
        <v>4.4184242727461336E-3</v>
      </c>
    </row>
    <row r="853" spans="1:3" ht="13" x14ac:dyDescent="0.15">
      <c r="A853" s="3">
        <f ca="1">IFERROR(__xludf.DUMMYFUNCTION("""COMPUTED_VALUE"""),41676.6666666666)</f>
        <v>41676.666666666599</v>
      </c>
      <c r="B853" s="4">
        <f ca="1">IFERROR(__xludf.DUMMYFUNCTION("""COMPUTED_VALUE"""),579.98)</f>
        <v>579.98</v>
      </c>
      <c r="C853" s="5">
        <f t="shared" ca="1" si="0"/>
        <v>1.4554174131588004E-2</v>
      </c>
    </row>
    <row r="854" spans="1:3" ht="13" x14ac:dyDescent="0.15">
      <c r="A854" s="3">
        <f ca="1">IFERROR(__xludf.DUMMYFUNCTION("""COMPUTED_VALUE"""),41677.6666666666)</f>
        <v>41677.666666666599</v>
      </c>
      <c r="B854" s="4">
        <f ca="1">IFERROR(__xludf.DUMMYFUNCTION("""COMPUTED_VALUE"""),588.72)</f>
        <v>588.72</v>
      </c>
      <c r="C854" s="5">
        <f t="shared" ca="1" si="0"/>
        <v>1.4957068431043153E-2</v>
      </c>
    </row>
    <row r="855" spans="1:3" ht="13" x14ac:dyDescent="0.15">
      <c r="A855" s="3">
        <f ca="1">IFERROR(__xludf.DUMMYFUNCTION("""COMPUTED_VALUE"""),41680.6666666666)</f>
        <v>41680.666666666599</v>
      </c>
      <c r="B855" s="4">
        <f ca="1">IFERROR(__xludf.DUMMYFUNCTION("""COMPUTED_VALUE"""),586.46)</f>
        <v>586.46</v>
      </c>
      <c r="C855" s="5">
        <f t="shared" ca="1" si="0"/>
        <v>-3.8462240441414553E-3</v>
      </c>
    </row>
    <row r="856" spans="1:3" ht="13" x14ac:dyDescent="0.15">
      <c r="A856" s="3">
        <f ca="1">IFERROR(__xludf.DUMMYFUNCTION("""COMPUTED_VALUE"""),41681.6666666666)</f>
        <v>41681.666666666599</v>
      </c>
      <c r="B856" s="4">
        <f ca="1">IFERROR(__xludf.DUMMYFUNCTION("""COMPUTED_VALUE"""),595.09)</f>
        <v>595.09</v>
      </c>
      <c r="C856" s="5">
        <f t="shared" ca="1" si="0"/>
        <v>1.4608190036912693E-2</v>
      </c>
    </row>
    <row r="857" spans="1:3" ht="13" x14ac:dyDescent="0.15">
      <c r="A857" s="3">
        <f ca="1">IFERROR(__xludf.DUMMYFUNCTION("""COMPUTED_VALUE"""),41682.6666666666)</f>
        <v>41682.666666666599</v>
      </c>
      <c r="B857" s="4">
        <f ca="1">IFERROR(__xludf.DUMMYFUNCTION("""COMPUTED_VALUE"""),593.34)</f>
        <v>593.34</v>
      </c>
      <c r="C857" s="5">
        <f t="shared" ca="1" si="0"/>
        <v>-2.9450641011603924E-3</v>
      </c>
    </row>
    <row r="858" spans="1:3" ht="13" x14ac:dyDescent="0.15">
      <c r="A858" s="3">
        <f ca="1">IFERROR(__xludf.DUMMYFUNCTION("""COMPUTED_VALUE"""),41683.6666666666)</f>
        <v>41683.666666666599</v>
      </c>
      <c r="B858" s="4">
        <f ca="1">IFERROR(__xludf.DUMMYFUNCTION("""COMPUTED_VALUE"""),599.95)</f>
        <v>599.95000000000005</v>
      </c>
      <c r="C858" s="5">
        <f t="shared" ca="1" si="0"/>
        <v>1.1078727900443485E-2</v>
      </c>
    </row>
    <row r="859" spans="1:3" ht="13" x14ac:dyDescent="0.15">
      <c r="A859" s="3">
        <f ca="1">IFERROR(__xludf.DUMMYFUNCTION("""COMPUTED_VALUE"""),41684.6666666666)</f>
        <v>41684.666666666599</v>
      </c>
      <c r="B859" s="4">
        <f ca="1">IFERROR(__xludf.DUMMYFUNCTION("""COMPUTED_VALUE"""),601.4)</f>
        <v>601.4</v>
      </c>
      <c r="C859" s="5">
        <f t="shared" ca="1" si="0"/>
        <v>2.4139521440307496E-3</v>
      </c>
    </row>
    <row r="860" spans="1:3" ht="13" x14ac:dyDescent="0.15">
      <c r="A860" s="3">
        <f ca="1">IFERROR(__xludf.DUMMYFUNCTION("""COMPUTED_VALUE"""),41688.6666666666)</f>
        <v>41688.666666666599</v>
      </c>
      <c r="B860" s="4">
        <f ca="1">IFERROR(__xludf.DUMMYFUNCTION("""COMPUTED_VALUE"""),605.44)</f>
        <v>605.44000000000005</v>
      </c>
      <c r="C860" s="5">
        <f t="shared" ca="1" si="0"/>
        <v>6.6951958690301266E-3</v>
      </c>
    </row>
    <row r="861" spans="1:3" ht="13" x14ac:dyDescent="0.15">
      <c r="A861" s="3">
        <f ca="1">IFERROR(__xludf.DUMMYFUNCTION("""COMPUTED_VALUE"""),41689.6666666666)</f>
        <v>41689.666666666599</v>
      </c>
      <c r="B861" s="4">
        <f ca="1">IFERROR(__xludf.DUMMYFUNCTION("""COMPUTED_VALUE"""),601.16)</f>
        <v>601.16</v>
      </c>
      <c r="C861" s="5">
        <f t="shared" ca="1" si="0"/>
        <v>-7.0943443575653105E-3</v>
      </c>
    </row>
    <row r="862" spans="1:3" ht="13" x14ac:dyDescent="0.15">
      <c r="A862" s="3">
        <f ca="1">IFERROR(__xludf.DUMMYFUNCTION("""COMPUTED_VALUE"""),41690.6666666666)</f>
        <v>41690.666666666599</v>
      </c>
      <c r="B862" s="4">
        <f ca="1">IFERROR(__xludf.DUMMYFUNCTION("""COMPUTED_VALUE"""),602.05)</f>
        <v>602.04999999999995</v>
      </c>
      <c r="C862" s="5">
        <f t="shared" ca="1" si="0"/>
        <v>1.479376272334499E-3</v>
      </c>
    </row>
    <row r="863" spans="1:3" ht="13" x14ac:dyDescent="0.15">
      <c r="A863" s="3">
        <f ca="1">IFERROR(__xludf.DUMMYFUNCTION("""COMPUTED_VALUE"""),41691.6666666666)</f>
        <v>41691.666666666599</v>
      </c>
      <c r="B863" s="4">
        <f ca="1">IFERROR(__xludf.DUMMYFUNCTION("""COMPUTED_VALUE"""),601.89)</f>
        <v>601.89</v>
      </c>
      <c r="C863" s="5">
        <f t="shared" ca="1" si="0"/>
        <v>-2.6579397800879435E-4</v>
      </c>
    </row>
    <row r="864" spans="1:3" ht="13" x14ac:dyDescent="0.15">
      <c r="A864" s="3">
        <f ca="1">IFERROR(__xludf.DUMMYFUNCTION("""COMPUTED_VALUE"""),41694.6666666666)</f>
        <v>41694.666666666599</v>
      </c>
      <c r="B864" s="4">
        <f ca="1">IFERROR(__xludf.DUMMYFUNCTION("""COMPUTED_VALUE"""),606.25)</f>
        <v>606.25</v>
      </c>
      <c r="C864" s="5">
        <f t="shared" ca="1" si="0"/>
        <v>7.2177378914736953E-3</v>
      </c>
    </row>
    <row r="865" spans="1:3" ht="13" x14ac:dyDescent="0.15">
      <c r="A865" s="3">
        <f ca="1">IFERROR(__xludf.DUMMYFUNCTION("""COMPUTED_VALUE"""),41695.6666666666)</f>
        <v>41695.666666666599</v>
      </c>
      <c r="B865" s="4">
        <f ca="1">IFERROR(__xludf.DUMMYFUNCTION("""COMPUTED_VALUE"""),610)</f>
        <v>610</v>
      </c>
      <c r="C865" s="5">
        <f t="shared" ca="1" si="0"/>
        <v>6.1665149156639584E-3</v>
      </c>
    </row>
    <row r="866" spans="1:3" ht="13" x14ac:dyDescent="0.15">
      <c r="A866" s="3">
        <f ca="1">IFERROR(__xludf.DUMMYFUNCTION("""COMPUTED_VALUE"""),41696.6666666666)</f>
        <v>41696.666666666599</v>
      </c>
      <c r="B866" s="4">
        <f ca="1">IFERROR(__xludf.DUMMYFUNCTION("""COMPUTED_VALUE"""),610.08)</f>
        <v>610.08000000000004</v>
      </c>
      <c r="C866" s="5">
        <f t="shared" ca="1" si="0"/>
        <v>1.311389418968274E-4</v>
      </c>
    </row>
    <row r="867" spans="1:3" ht="13" x14ac:dyDescent="0.15">
      <c r="A867" s="3">
        <f ca="1">IFERROR(__xludf.DUMMYFUNCTION("""COMPUTED_VALUE"""),41697.6666666666)</f>
        <v>41697.666666666599</v>
      </c>
      <c r="B867" s="4">
        <f ca="1">IFERROR(__xludf.DUMMYFUNCTION("""COMPUTED_VALUE"""),609.6)</f>
        <v>609.6</v>
      </c>
      <c r="C867" s="5">
        <f t="shared" ca="1" si="0"/>
        <v>-7.8709173681715434E-4</v>
      </c>
    </row>
    <row r="868" spans="1:3" ht="13" x14ac:dyDescent="0.15">
      <c r="A868" s="3">
        <f ca="1">IFERROR(__xludf.DUMMYFUNCTION("""COMPUTED_VALUE"""),41698.6666666666)</f>
        <v>41698.666666666599</v>
      </c>
      <c r="B868" s="4">
        <f ca="1">IFERROR(__xludf.DUMMYFUNCTION("""COMPUTED_VALUE"""),607.82)</f>
        <v>607.82000000000005</v>
      </c>
      <c r="C868" s="5">
        <f t="shared" ca="1" si="0"/>
        <v>-2.9242188700800823E-3</v>
      </c>
    </row>
    <row r="869" spans="1:3" ht="13" x14ac:dyDescent="0.15">
      <c r="A869" s="3">
        <f ca="1">IFERROR(__xludf.DUMMYFUNCTION("""COMPUTED_VALUE"""),41701.6666666666)</f>
        <v>41701.666666666599</v>
      </c>
      <c r="B869" s="4">
        <f ca="1">IFERROR(__xludf.DUMMYFUNCTION("""COMPUTED_VALUE"""),601.34)</f>
        <v>601.34</v>
      </c>
      <c r="C869" s="5">
        <f t="shared" ca="1" si="0"/>
        <v>-1.0718287134850561E-2</v>
      </c>
    </row>
    <row r="870" spans="1:3" ht="13" x14ac:dyDescent="0.15">
      <c r="A870" s="3">
        <f ca="1">IFERROR(__xludf.DUMMYFUNCTION("""COMPUTED_VALUE"""),41702.6666666666)</f>
        <v>41702.666666666599</v>
      </c>
      <c r="B870" s="4">
        <f ca="1">IFERROR(__xludf.DUMMYFUNCTION("""COMPUTED_VALUE"""),607.45)</f>
        <v>607.45000000000005</v>
      </c>
      <c r="C870" s="5">
        <f t="shared" ca="1" si="0"/>
        <v>1.0109368933245192E-2</v>
      </c>
    </row>
    <row r="871" spans="1:3" ht="13" x14ac:dyDescent="0.15">
      <c r="A871" s="3">
        <f ca="1">IFERROR(__xludf.DUMMYFUNCTION("""COMPUTED_VALUE"""),41703.6666666666)</f>
        <v>41703.666666666599</v>
      </c>
      <c r="B871" s="4">
        <f ca="1">IFERROR(__xludf.DUMMYFUNCTION("""COMPUTED_VALUE"""),609.13)</f>
        <v>609.13</v>
      </c>
      <c r="C871" s="5">
        <f t="shared" ca="1" si="0"/>
        <v>2.7618423250227453E-3</v>
      </c>
    </row>
    <row r="872" spans="1:3" ht="13" x14ac:dyDescent="0.15">
      <c r="A872" s="3">
        <f ca="1">IFERROR(__xludf.DUMMYFUNCTION("""COMPUTED_VALUE"""),41704.6666666666)</f>
        <v>41704.666666666599</v>
      </c>
      <c r="B872" s="4">
        <f ca="1">IFERROR(__xludf.DUMMYFUNCTION("""COMPUTED_VALUE"""),609.8)</f>
        <v>609.79999999999995</v>
      </c>
      <c r="C872" s="5">
        <f t="shared" ca="1" si="0"/>
        <v>1.0993249283804635E-3</v>
      </c>
    </row>
    <row r="873" spans="1:3" ht="13" x14ac:dyDescent="0.15">
      <c r="A873" s="3">
        <f ca="1">IFERROR(__xludf.DUMMYFUNCTION("""COMPUTED_VALUE"""),41705.6666666666)</f>
        <v>41705.666666666599</v>
      </c>
      <c r="B873" s="4">
        <f ca="1">IFERROR(__xludf.DUMMYFUNCTION("""COMPUTED_VALUE"""),607.39)</f>
        <v>607.39</v>
      </c>
      <c r="C873" s="5">
        <f t="shared" ca="1" si="0"/>
        <v>-3.9599456934426933E-3</v>
      </c>
    </row>
    <row r="874" spans="1:3" ht="13" x14ac:dyDescent="0.15">
      <c r="A874" s="3">
        <f ca="1">IFERROR(__xludf.DUMMYFUNCTION("""COMPUTED_VALUE"""),41708.6666666666)</f>
        <v>41708.666666666599</v>
      </c>
      <c r="B874" s="4">
        <f ca="1">IFERROR(__xludf.DUMMYFUNCTION("""COMPUTED_VALUE"""),605.78)</f>
        <v>605.78</v>
      </c>
      <c r="C874" s="5">
        <f t="shared" ca="1" si="0"/>
        <v>-2.6542050086595789E-3</v>
      </c>
    </row>
    <row r="875" spans="1:3" ht="13" x14ac:dyDescent="0.15">
      <c r="A875" s="3">
        <f ca="1">IFERROR(__xludf.DUMMYFUNCTION("""COMPUTED_VALUE"""),41709.6666666666)</f>
        <v>41709.666666666599</v>
      </c>
      <c r="B875" s="4">
        <f ca="1">IFERROR(__xludf.DUMMYFUNCTION("""COMPUTED_VALUE"""),599.99)</f>
        <v>599.99</v>
      </c>
      <c r="C875" s="5">
        <f t="shared" ca="1" si="0"/>
        <v>-9.6038954414626593E-3</v>
      </c>
    </row>
    <row r="876" spans="1:3" ht="13" x14ac:dyDescent="0.15">
      <c r="A876" s="3">
        <f ca="1">IFERROR(__xludf.DUMMYFUNCTION("""COMPUTED_VALUE"""),41710.6666666666)</f>
        <v>41710.666666666599</v>
      </c>
      <c r="B876" s="4">
        <f ca="1">IFERROR(__xludf.DUMMYFUNCTION("""COMPUTED_VALUE"""),603.65)</f>
        <v>603.65</v>
      </c>
      <c r="C876" s="5">
        <f t="shared" ca="1" si="0"/>
        <v>6.0815713678070513E-3</v>
      </c>
    </row>
    <row r="877" spans="1:3" ht="13" x14ac:dyDescent="0.15">
      <c r="A877" s="3">
        <f ca="1">IFERROR(__xludf.DUMMYFUNCTION("""COMPUTED_VALUE"""),41711.6666666666)</f>
        <v>41711.666666666599</v>
      </c>
      <c r="B877" s="4">
        <f ca="1">IFERROR(__xludf.DUMMYFUNCTION("""COMPUTED_VALUE"""),594.53)</f>
        <v>594.53</v>
      </c>
      <c r="C877" s="5">
        <f t="shared" ca="1" si="0"/>
        <v>-1.5223382347161488E-2</v>
      </c>
    </row>
    <row r="878" spans="1:3" ht="13" x14ac:dyDescent="0.15">
      <c r="A878" s="3">
        <f ca="1">IFERROR(__xludf.DUMMYFUNCTION("""COMPUTED_VALUE"""),41712.6666666666)</f>
        <v>41712.666666666599</v>
      </c>
      <c r="B878" s="4">
        <f ca="1">IFERROR(__xludf.DUMMYFUNCTION("""COMPUTED_VALUE"""),586.4)</f>
        <v>586.4</v>
      </c>
      <c r="C878" s="5">
        <f t="shared" ca="1" si="0"/>
        <v>-1.3769026858793143E-2</v>
      </c>
    </row>
    <row r="879" spans="1:3" ht="13" x14ac:dyDescent="0.15">
      <c r="A879" s="3">
        <f ca="1">IFERROR(__xludf.DUMMYFUNCTION("""COMPUTED_VALUE"""),41715.6666666666)</f>
        <v>41715.666666666599</v>
      </c>
      <c r="B879" s="4">
        <f ca="1">IFERROR(__xludf.DUMMYFUNCTION("""COMPUTED_VALUE"""),596.04)</f>
        <v>596.04</v>
      </c>
      <c r="C879" s="5">
        <f t="shared" ca="1" si="0"/>
        <v>1.6305628334817614E-2</v>
      </c>
    </row>
    <row r="880" spans="1:3" ht="13" x14ac:dyDescent="0.15">
      <c r="A880" s="3">
        <f ca="1">IFERROR(__xludf.DUMMYFUNCTION("""COMPUTED_VALUE"""),41716.6666666666)</f>
        <v>41716.666666666599</v>
      </c>
      <c r="B880" s="4">
        <f ca="1">IFERROR(__xludf.DUMMYFUNCTION("""COMPUTED_VALUE"""),605.63)</f>
        <v>605.63</v>
      </c>
      <c r="C880" s="5">
        <f t="shared" ca="1" si="0"/>
        <v>1.5961459637643782E-2</v>
      </c>
    </row>
    <row r="881" spans="1:3" ht="13" x14ac:dyDescent="0.15">
      <c r="A881" s="3">
        <f ca="1">IFERROR(__xludf.DUMMYFUNCTION("""COMPUTED_VALUE"""),41717.6666666666)</f>
        <v>41717.666666666599</v>
      </c>
      <c r="B881" s="4">
        <f ca="1">IFERROR(__xludf.DUMMYFUNCTION("""COMPUTED_VALUE"""),599.62)</f>
        <v>599.62</v>
      </c>
      <c r="C881" s="5">
        <f t="shared" ca="1" si="0"/>
        <v>-9.9731173023649197E-3</v>
      </c>
    </row>
    <row r="882" spans="1:3" ht="13" x14ac:dyDescent="0.15">
      <c r="A882" s="3">
        <f ca="1">IFERROR(__xludf.DUMMYFUNCTION("""COMPUTED_VALUE"""),41718.6666666666)</f>
        <v>41718.666666666599</v>
      </c>
      <c r="B882" s="4">
        <f ca="1">IFERROR(__xludf.DUMMYFUNCTION("""COMPUTED_VALUE"""),598.58)</f>
        <v>598.58000000000004</v>
      </c>
      <c r="C882" s="5">
        <f t="shared" ca="1" si="0"/>
        <v>-1.7359376751262855E-3</v>
      </c>
    </row>
    <row r="883" spans="1:3" ht="13" x14ac:dyDescent="0.15">
      <c r="A883" s="3">
        <f ca="1">IFERROR(__xludf.DUMMYFUNCTION("""COMPUTED_VALUE"""),41719.6666666666)</f>
        <v>41719.666666666599</v>
      </c>
      <c r="B883" s="4">
        <f ca="1">IFERROR(__xludf.DUMMYFUNCTION("""COMPUTED_VALUE"""),591.52)</f>
        <v>591.52</v>
      </c>
      <c r="C883" s="5">
        <f t="shared" ca="1" si="0"/>
        <v>-1.1864688379090183E-2</v>
      </c>
    </row>
    <row r="884" spans="1:3" ht="13" x14ac:dyDescent="0.15">
      <c r="A884" s="3">
        <f ca="1">IFERROR(__xludf.DUMMYFUNCTION("""COMPUTED_VALUE"""),41722.6666666666)</f>
        <v>41722.666666666599</v>
      </c>
      <c r="B884" s="4">
        <f ca="1">IFERROR(__xludf.DUMMYFUNCTION("""COMPUTED_VALUE"""),578.96)</f>
        <v>578.96</v>
      </c>
      <c r="C884" s="5">
        <f t="shared" ca="1" si="0"/>
        <v>-2.1462104630449425E-2</v>
      </c>
    </row>
    <row r="885" spans="1:3" ht="13" x14ac:dyDescent="0.15">
      <c r="A885" s="3">
        <f ca="1">IFERROR(__xludf.DUMMYFUNCTION("""COMPUTED_VALUE"""),41723.6666666666)</f>
        <v>41723.666666666599</v>
      </c>
      <c r="B885" s="4">
        <f ca="1">IFERROR(__xludf.DUMMYFUNCTION("""COMPUTED_VALUE"""),579.36)</f>
        <v>579.36</v>
      </c>
      <c r="C885" s="5">
        <f t="shared" ca="1" si="0"/>
        <v>6.9065545945873254E-4</v>
      </c>
    </row>
    <row r="886" spans="1:3" ht="13" x14ac:dyDescent="0.15">
      <c r="A886" s="3">
        <f ca="1">IFERROR(__xludf.DUMMYFUNCTION("""COMPUTED_VALUE"""),41724.6666666666)</f>
        <v>41724.666666666599</v>
      </c>
      <c r="B886" s="4">
        <f ca="1">IFERROR(__xludf.DUMMYFUNCTION("""COMPUTED_VALUE"""),565.98)</f>
        <v>565.98</v>
      </c>
      <c r="C886" s="5">
        <f t="shared" ca="1" si="0"/>
        <v>-2.3365304127514169E-2</v>
      </c>
    </row>
    <row r="887" spans="1:3" ht="13" x14ac:dyDescent="0.15">
      <c r="A887" s="3">
        <f ca="1">IFERROR(__xludf.DUMMYFUNCTION("""COMPUTED_VALUE"""),41725.6666666666)</f>
        <v>41725.666666666599</v>
      </c>
      <c r="B887" s="4">
        <f ca="1">IFERROR(__xludf.DUMMYFUNCTION("""COMPUTED_VALUE"""),556.93)</f>
        <v>556.92999999999995</v>
      </c>
      <c r="C887" s="5">
        <f t="shared" ca="1" si="0"/>
        <v>-1.6119183109628579E-2</v>
      </c>
    </row>
    <row r="888" spans="1:3" ht="13" x14ac:dyDescent="0.15">
      <c r="A888" s="3">
        <f ca="1">IFERROR(__xludf.DUMMYFUNCTION("""COMPUTED_VALUE"""),41726.6666666666)</f>
        <v>41726.666666666599</v>
      </c>
      <c r="B888" s="4">
        <f ca="1">IFERROR(__xludf.DUMMYFUNCTION("""COMPUTED_VALUE"""),558.46)</f>
        <v>558.46</v>
      </c>
      <c r="C888" s="5">
        <f t="shared" ca="1" si="0"/>
        <v>2.7434367523856188E-3</v>
      </c>
    </row>
    <row r="889" spans="1:3" ht="13" x14ac:dyDescent="0.15">
      <c r="A889" s="3">
        <f ca="1">IFERROR(__xludf.DUMMYFUNCTION("""COMPUTED_VALUE"""),41729.6666666666)</f>
        <v>41729.666666666599</v>
      </c>
      <c r="B889" s="4">
        <f ca="1">IFERROR(__xludf.DUMMYFUNCTION("""COMPUTED_VALUE"""),555.45)</f>
        <v>555.45000000000005</v>
      </c>
      <c r="C889" s="5">
        <f t="shared" ca="1" si="0"/>
        <v>-5.4043995048424871E-3</v>
      </c>
    </row>
    <row r="890" spans="1:3" ht="13" x14ac:dyDescent="0.15">
      <c r="A890" s="3">
        <f ca="1">IFERROR(__xludf.DUMMYFUNCTION("""COMPUTED_VALUE"""),41730.6666666666)</f>
        <v>41730.666666666599</v>
      </c>
      <c r="B890" s="4">
        <f ca="1">IFERROR(__xludf.DUMMYFUNCTION("""COMPUTED_VALUE"""),565.61)</f>
        <v>565.61</v>
      </c>
      <c r="C890" s="5">
        <f t="shared" ca="1" si="0"/>
        <v>1.8126198737798787E-2</v>
      </c>
    </row>
    <row r="891" spans="1:3" ht="13" x14ac:dyDescent="0.15">
      <c r="A891" s="3">
        <f ca="1">IFERROR(__xludf.DUMMYFUNCTION("""COMPUTED_VALUE"""),41731.6666666666)</f>
        <v>41731.666666666599</v>
      </c>
      <c r="B891" s="4">
        <f ca="1">IFERROR(__xludf.DUMMYFUNCTION("""COMPUTED_VALUE"""),565.45)</f>
        <v>565.45000000000005</v>
      </c>
      <c r="C891" s="5">
        <f t="shared" ca="1" si="0"/>
        <v>-2.829204481940732E-4</v>
      </c>
    </row>
    <row r="892" spans="1:3" ht="13" x14ac:dyDescent="0.15">
      <c r="A892" s="3">
        <f ca="1">IFERROR(__xludf.DUMMYFUNCTION("""COMPUTED_VALUE"""),41732.6666666666)</f>
        <v>41732.666666666599</v>
      </c>
      <c r="B892" s="4">
        <f ca="1">IFERROR(__xludf.DUMMYFUNCTION("""COMPUTED_VALUE"""),568.18)</f>
        <v>568.17999999999995</v>
      </c>
      <c r="C892" s="5">
        <f t="shared" ca="1" si="0"/>
        <v>4.8163956096205496E-3</v>
      </c>
    </row>
    <row r="893" spans="1:3" ht="13" x14ac:dyDescent="0.15">
      <c r="A893" s="3">
        <f ca="1">IFERROR(__xludf.DUMMYFUNCTION("""COMPUTED_VALUE"""),41733.6666666666)</f>
        <v>41733.666666666599</v>
      </c>
      <c r="B893" s="4">
        <f ca="1">IFERROR(__xludf.DUMMYFUNCTION("""COMPUTED_VALUE"""),541.65)</f>
        <v>541.65</v>
      </c>
      <c r="C893" s="5">
        <f t="shared" ca="1" si="0"/>
        <v>-4.781823353538011E-2</v>
      </c>
    </row>
    <row r="894" spans="1:3" ht="13" x14ac:dyDescent="0.15">
      <c r="A894" s="3">
        <f ca="1">IFERROR(__xludf.DUMMYFUNCTION("""COMPUTED_VALUE"""),41736.6666666666)</f>
        <v>41736.666666666599</v>
      </c>
      <c r="B894" s="4">
        <f ca="1">IFERROR(__xludf.DUMMYFUNCTION("""COMPUTED_VALUE"""),536.68)</f>
        <v>536.67999999999995</v>
      </c>
      <c r="C894" s="5">
        <f t="shared" ca="1" si="0"/>
        <v>-9.2180226693055374E-3</v>
      </c>
    </row>
    <row r="895" spans="1:3" ht="13" x14ac:dyDescent="0.15">
      <c r="A895" s="3">
        <f ca="1">IFERROR(__xludf.DUMMYFUNCTION("""COMPUTED_VALUE"""),41737.6666666666)</f>
        <v>41737.666666666599</v>
      </c>
      <c r="B895" s="4">
        <f ca="1">IFERROR(__xludf.DUMMYFUNCTION("""COMPUTED_VALUE"""),553.38)</f>
        <v>553.38</v>
      </c>
      <c r="C895" s="5">
        <f t="shared" ca="1" si="0"/>
        <v>3.0642912753411571E-2</v>
      </c>
    </row>
    <row r="896" spans="1:3" ht="13" x14ac:dyDescent="0.15">
      <c r="A896" s="3">
        <f ca="1">IFERROR(__xludf.DUMMYFUNCTION("""COMPUTED_VALUE"""),41738.6666666666)</f>
        <v>41738.666666666599</v>
      </c>
      <c r="B896" s="4">
        <f ca="1">IFERROR(__xludf.DUMMYFUNCTION("""COMPUTED_VALUE"""),562.6)</f>
        <v>562.6</v>
      </c>
      <c r="C896" s="5">
        <f t="shared" ca="1" si="0"/>
        <v>1.6523969580073926E-2</v>
      </c>
    </row>
    <row r="897" spans="1:3" ht="13" x14ac:dyDescent="0.15">
      <c r="A897" s="3">
        <f ca="1">IFERROR(__xludf.DUMMYFUNCTION("""COMPUTED_VALUE"""),41739.6666666666)</f>
        <v>41739.666666666599</v>
      </c>
      <c r="B897" s="4">
        <f ca="1">IFERROR(__xludf.DUMMYFUNCTION("""COMPUTED_VALUE"""),539.47)</f>
        <v>539.47</v>
      </c>
      <c r="C897" s="5">
        <f t="shared" ca="1" si="0"/>
        <v>-4.1981719947254983E-2</v>
      </c>
    </row>
    <row r="898" spans="1:3" ht="13" x14ac:dyDescent="0.15">
      <c r="A898" s="3">
        <f ca="1">IFERROR(__xludf.DUMMYFUNCTION("""COMPUTED_VALUE"""),41740.6666666666)</f>
        <v>41740.666666666599</v>
      </c>
      <c r="B898" s="4">
        <f ca="1">IFERROR(__xludf.DUMMYFUNCTION("""COMPUTED_VALUE"""),529.15)</f>
        <v>529.15</v>
      </c>
      <c r="C898" s="5">
        <f t="shared" ca="1" si="0"/>
        <v>-1.9315230568768164E-2</v>
      </c>
    </row>
    <row r="899" spans="1:3" ht="13" x14ac:dyDescent="0.15">
      <c r="A899" s="3">
        <f ca="1">IFERROR(__xludf.DUMMYFUNCTION("""COMPUTED_VALUE"""),41743.6666666666)</f>
        <v>41743.666666666599</v>
      </c>
      <c r="B899" s="4">
        <f ca="1">IFERROR(__xludf.DUMMYFUNCTION("""COMPUTED_VALUE"""),531.06)</f>
        <v>531.05999999999995</v>
      </c>
      <c r="C899" s="5">
        <f t="shared" ca="1" si="0"/>
        <v>3.6030636691069939E-3</v>
      </c>
    </row>
    <row r="900" spans="1:3" ht="13" x14ac:dyDescent="0.15">
      <c r="A900" s="3">
        <f ca="1">IFERROR(__xludf.DUMMYFUNCTION("""COMPUTED_VALUE"""),41744.6666666666)</f>
        <v>41744.666666666599</v>
      </c>
      <c r="B900" s="4">
        <f ca="1">IFERROR(__xludf.DUMMYFUNCTION("""COMPUTED_VALUE"""),534.97)</f>
        <v>534.97</v>
      </c>
      <c r="C900" s="5">
        <f t="shared" ca="1" si="0"/>
        <v>7.3356613485624422E-3</v>
      </c>
    </row>
    <row r="901" spans="1:3" ht="13" x14ac:dyDescent="0.15">
      <c r="A901" s="3">
        <f ca="1">IFERROR(__xludf.DUMMYFUNCTION("""COMPUTED_VALUE"""),41745.6666666666)</f>
        <v>41745.666666666599</v>
      </c>
      <c r="B901" s="4">
        <f ca="1">IFERROR(__xludf.DUMMYFUNCTION("""COMPUTED_VALUE"""),555.02)</f>
        <v>555.02</v>
      </c>
      <c r="C901" s="5">
        <f t="shared" ca="1" si="0"/>
        <v>3.6793478575785132E-2</v>
      </c>
    </row>
    <row r="902" spans="1:3" ht="13" x14ac:dyDescent="0.15">
      <c r="A902" s="3">
        <f ca="1">IFERROR(__xludf.DUMMYFUNCTION("""COMPUTED_VALUE"""),41746.6666666666)</f>
        <v>41746.666666666599</v>
      </c>
      <c r="B902" s="4">
        <f ca="1">IFERROR(__xludf.DUMMYFUNCTION("""COMPUTED_VALUE"""),534.63)</f>
        <v>534.63</v>
      </c>
      <c r="C902" s="5">
        <f t="shared" ca="1" si="0"/>
        <v>-3.7429230280070572E-2</v>
      </c>
    </row>
    <row r="903" spans="1:3" ht="13" x14ac:dyDescent="0.15">
      <c r="A903" s="3">
        <f ca="1">IFERROR(__xludf.DUMMYFUNCTION("""COMPUTED_VALUE"""),41750.6666666666)</f>
        <v>41750.666666666599</v>
      </c>
      <c r="B903" s="4">
        <f ca="1">IFERROR(__xludf.DUMMYFUNCTION("""COMPUTED_VALUE"""),527.17)</f>
        <v>527.16999999999996</v>
      </c>
      <c r="C903" s="5">
        <f t="shared" ca="1" si="0"/>
        <v>-1.4051841684544068E-2</v>
      </c>
    </row>
    <row r="904" spans="1:3" ht="13" x14ac:dyDescent="0.15">
      <c r="A904" s="3">
        <f ca="1">IFERROR(__xludf.DUMMYFUNCTION("""COMPUTED_VALUE"""),41751.6666666666)</f>
        <v>41751.666666666599</v>
      </c>
      <c r="B904" s="4">
        <f ca="1">IFERROR(__xludf.DUMMYFUNCTION("""COMPUTED_VALUE"""),533.35)</f>
        <v>533.35</v>
      </c>
      <c r="C904" s="5">
        <f t="shared" ca="1" si="0"/>
        <v>1.1654791902918323E-2</v>
      </c>
    </row>
    <row r="905" spans="1:3" ht="13" x14ac:dyDescent="0.15">
      <c r="A905" s="3">
        <f ca="1">IFERROR(__xludf.DUMMYFUNCTION("""COMPUTED_VALUE"""),41752.6666666666)</f>
        <v>41752.666666666599</v>
      </c>
      <c r="B905" s="4">
        <f ca="1">IFERROR(__xludf.DUMMYFUNCTION("""COMPUTED_VALUE"""),525.5)</f>
        <v>525.5</v>
      </c>
      <c r="C905" s="5">
        <f t="shared" ca="1" si="0"/>
        <v>-1.4827678754486024E-2</v>
      </c>
    </row>
    <row r="906" spans="1:3" ht="13" x14ac:dyDescent="0.15">
      <c r="A906" s="3">
        <f ca="1">IFERROR(__xludf.DUMMYFUNCTION("""COMPUTED_VALUE"""),41753.6666666666)</f>
        <v>41753.666666666599</v>
      </c>
      <c r="B906" s="4">
        <f ca="1">IFERROR(__xludf.DUMMYFUNCTION("""COMPUTED_VALUE"""),523.72)</f>
        <v>523.72</v>
      </c>
      <c r="C906" s="5">
        <f t="shared" ca="1" si="0"/>
        <v>-3.3929999574532597E-3</v>
      </c>
    </row>
    <row r="907" spans="1:3" ht="13" x14ac:dyDescent="0.15">
      <c r="A907" s="3">
        <f ca="1">IFERROR(__xludf.DUMMYFUNCTION("""COMPUTED_VALUE"""),41754.6666666666)</f>
        <v>41754.666666666599</v>
      </c>
      <c r="B907" s="4">
        <f ca="1">IFERROR(__xludf.DUMMYFUNCTION("""COMPUTED_VALUE"""),514.77)</f>
        <v>514.77</v>
      </c>
      <c r="C907" s="5">
        <f t="shared" ca="1" si="0"/>
        <v>-1.723699139391327E-2</v>
      </c>
    </row>
    <row r="908" spans="1:3" ht="13" x14ac:dyDescent="0.15">
      <c r="A908" s="3">
        <f ca="1">IFERROR(__xludf.DUMMYFUNCTION("""COMPUTED_VALUE"""),41757.6666666666)</f>
        <v>41757.666666666599</v>
      </c>
      <c r="B908" s="4">
        <f ca="1">IFERROR(__xludf.DUMMYFUNCTION("""COMPUTED_VALUE"""),515.73)</f>
        <v>515.73</v>
      </c>
      <c r="C908" s="5">
        <f t="shared" ca="1" si="0"/>
        <v>1.8631737558726168E-3</v>
      </c>
    </row>
    <row r="909" spans="1:3" ht="13" x14ac:dyDescent="0.15">
      <c r="A909" s="3">
        <f ca="1">IFERROR(__xludf.DUMMYFUNCTION("""COMPUTED_VALUE"""),41758.6666666666)</f>
        <v>41758.666666666599</v>
      </c>
      <c r="B909" s="4">
        <f ca="1">IFERROR(__xludf.DUMMYFUNCTION("""COMPUTED_VALUE"""),526.26)</f>
        <v>526.26</v>
      </c>
      <c r="C909" s="5">
        <f t="shared" ca="1" si="0"/>
        <v>2.0212014469833412E-2</v>
      </c>
    </row>
    <row r="910" spans="1:3" ht="13" x14ac:dyDescent="0.15">
      <c r="A910" s="3">
        <f ca="1">IFERROR(__xludf.DUMMYFUNCTION("""COMPUTED_VALUE"""),41759.6666666666)</f>
        <v>41759.666666666599</v>
      </c>
      <c r="B910" s="4">
        <f ca="1">IFERROR(__xludf.DUMMYFUNCTION("""COMPUTED_VALUE"""),525.22)</f>
        <v>525.22</v>
      </c>
      <c r="C910" s="5">
        <f t="shared" ca="1" si="0"/>
        <v>-1.9781647566066742E-3</v>
      </c>
    </row>
    <row r="911" spans="1:3" ht="13" x14ac:dyDescent="0.15">
      <c r="A911" s="3">
        <f ca="1">IFERROR(__xludf.DUMMYFUNCTION("""COMPUTED_VALUE"""),41760.6666666666)</f>
        <v>41760.666666666599</v>
      </c>
      <c r="B911" s="4">
        <f ca="1">IFERROR(__xludf.DUMMYFUNCTION("""COMPUTED_VALUE"""),529.9)</f>
        <v>529.9</v>
      </c>
      <c r="C911" s="5">
        <f t="shared" ca="1" si="0"/>
        <v>8.871087063977684E-3</v>
      </c>
    </row>
    <row r="912" spans="1:3" ht="13" x14ac:dyDescent="0.15">
      <c r="A912" s="3">
        <f ca="1">IFERROR(__xludf.DUMMYFUNCTION("""COMPUTED_VALUE"""),41761.6666666666)</f>
        <v>41761.666666666599</v>
      </c>
      <c r="B912" s="4">
        <f ca="1">IFERROR(__xludf.DUMMYFUNCTION("""COMPUTED_VALUE"""),526.48)</f>
        <v>526.48</v>
      </c>
      <c r="C912" s="5">
        <f t="shared" ca="1" si="0"/>
        <v>-6.4749653508526343E-3</v>
      </c>
    </row>
    <row r="913" spans="1:3" ht="13" x14ac:dyDescent="0.15">
      <c r="A913" s="3">
        <f ca="1">IFERROR(__xludf.DUMMYFUNCTION("""COMPUTED_VALUE"""),41764.6666666666)</f>
        <v>41764.666666666599</v>
      </c>
      <c r="B913" s="4">
        <f ca="1">IFERROR(__xludf.DUMMYFUNCTION("""COMPUTED_VALUE"""),526.37)</f>
        <v>526.37</v>
      </c>
      <c r="C913" s="5">
        <f t="shared" ca="1" si="0"/>
        <v>-2.089566422571668E-4</v>
      </c>
    </row>
    <row r="914" spans="1:3" ht="13" x14ac:dyDescent="0.15">
      <c r="A914" s="3">
        <f ca="1">IFERROR(__xludf.DUMMYFUNCTION("""COMPUTED_VALUE"""),41765.6666666666)</f>
        <v>41765.666666666599</v>
      </c>
      <c r="B914" s="4">
        <f ca="1">IFERROR(__xludf.DUMMYFUNCTION("""COMPUTED_VALUE"""),513.73)</f>
        <v>513.73</v>
      </c>
      <c r="C914" s="5">
        <f t="shared" ca="1" si="0"/>
        <v>-2.4306551893321732E-2</v>
      </c>
    </row>
    <row r="915" spans="1:3" ht="13" x14ac:dyDescent="0.15">
      <c r="A915" s="3">
        <f ca="1">IFERROR(__xludf.DUMMYFUNCTION("""COMPUTED_VALUE"""),41766.6666666666)</f>
        <v>41766.666666666599</v>
      </c>
      <c r="B915" s="4">
        <f ca="1">IFERROR(__xludf.DUMMYFUNCTION("""COMPUTED_VALUE"""),508.56)</f>
        <v>508.56</v>
      </c>
      <c r="C915" s="5">
        <f t="shared" ca="1" si="0"/>
        <v>-1.0114632984131443E-2</v>
      </c>
    </row>
    <row r="916" spans="1:3" ht="13" x14ac:dyDescent="0.15">
      <c r="A916" s="3">
        <f ca="1">IFERROR(__xludf.DUMMYFUNCTION("""COMPUTED_VALUE"""),41767.6666666666)</f>
        <v>41767.666666666599</v>
      </c>
      <c r="B916" s="4">
        <f ca="1">IFERROR(__xludf.DUMMYFUNCTION("""COMPUTED_VALUE"""),509.6)</f>
        <v>509.6</v>
      </c>
      <c r="C916" s="5">
        <f t="shared" ca="1" si="0"/>
        <v>2.042901629800331E-3</v>
      </c>
    </row>
    <row r="917" spans="1:3" ht="13" x14ac:dyDescent="0.15">
      <c r="A917" s="3">
        <f ca="1">IFERROR(__xludf.DUMMYFUNCTION("""COMPUTED_VALUE"""),41768.6666666666)</f>
        <v>41768.666666666599</v>
      </c>
      <c r="B917" s="4">
        <f ca="1">IFERROR(__xludf.DUMMYFUNCTION("""COMPUTED_VALUE"""),517.31)</f>
        <v>517.30999999999995</v>
      </c>
      <c r="C917" s="5">
        <f t="shared" ca="1" si="0"/>
        <v>1.5016203707142114E-2</v>
      </c>
    </row>
    <row r="918" spans="1:3" ht="13" x14ac:dyDescent="0.15">
      <c r="A918" s="3">
        <f ca="1">IFERROR(__xludf.DUMMYFUNCTION("""COMPUTED_VALUE"""),41771.6666666666)</f>
        <v>41771.666666666599</v>
      </c>
      <c r="B918" s="4">
        <f ca="1">IFERROR(__xludf.DUMMYFUNCTION("""COMPUTED_VALUE"""),528.47)</f>
        <v>528.47</v>
      </c>
      <c r="C918" s="5">
        <f t="shared" ca="1" si="0"/>
        <v>2.1343731306410242E-2</v>
      </c>
    </row>
    <row r="919" spans="1:3" ht="13" x14ac:dyDescent="0.15">
      <c r="A919" s="3">
        <f ca="1">IFERROR(__xludf.DUMMYFUNCTION("""COMPUTED_VALUE"""),41772.6666666666)</f>
        <v>41772.666666666599</v>
      </c>
      <c r="B919" s="4">
        <f ca="1">IFERROR(__xludf.DUMMYFUNCTION("""COMPUTED_VALUE"""),531.63)</f>
        <v>531.63</v>
      </c>
      <c r="C919" s="5">
        <f t="shared" ca="1" si="0"/>
        <v>5.9617193838572211E-3</v>
      </c>
    </row>
    <row r="920" spans="1:3" ht="13" x14ac:dyDescent="0.15">
      <c r="A920" s="3">
        <f ca="1">IFERROR(__xludf.DUMMYFUNCTION("""COMPUTED_VALUE"""),41773.6666666666)</f>
        <v>41773.666666666599</v>
      </c>
      <c r="B920" s="4">
        <f ca="1">IFERROR(__xludf.DUMMYFUNCTION("""COMPUTED_VALUE"""),525.21)</f>
        <v>525.21</v>
      </c>
      <c r="C920" s="5">
        <f t="shared" ca="1" si="0"/>
        <v>-1.2149576042412511E-2</v>
      </c>
    </row>
    <row r="921" spans="1:3" ht="13" x14ac:dyDescent="0.15">
      <c r="A921" s="3">
        <f ca="1">IFERROR(__xludf.DUMMYFUNCTION("""COMPUTED_VALUE"""),41774.6666666666)</f>
        <v>41774.666666666599</v>
      </c>
      <c r="B921" s="4">
        <f ca="1">IFERROR(__xludf.DUMMYFUNCTION("""COMPUTED_VALUE"""),518.56)</f>
        <v>518.55999999999995</v>
      </c>
      <c r="C921" s="5">
        <f t="shared" ca="1" si="0"/>
        <v>-1.2742443219713644E-2</v>
      </c>
    </row>
    <row r="922" spans="1:3" ht="13" x14ac:dyDescent="0.15">
      <c r="A922" s="3">
        <f ca="1">IFERROR(__xludf.DUMMYFUNCTION("""COMPUTED_VALUE"""),41775.6666666666)</f>
        <v>41775.666666666599</v>
      </c>
      <c r="B922" s="4">
        <f ca="1">IFERROR(__xludf.DUMMYFUNCTION("""COMPUTED_VALUE"""),519.2)</f>
        <v>519.20000000000005</v>
      </c>
      <c r="C922" s="5">
        <f t="shared" ca="1" si="0"/>
        <v>1.2334259966431558E-3</v>
      </c>
    </row>
    <row r="923" spans="1:3" ht="13" x14ac:dyDescent="0.15">
      <c r="A923" s="3">
        <f ca="1">IFERROR(__xludf.DUMMYFUNCTION("""COMPUTED_VALUE"""),41778.6666666666)</f>
        <v>41778.666666666599</v>
      </c>
      <c r="B923" s="4">
        <f ca="1">IFERROR(__xludf.DUMMYFUNCTION("""COMPUTED_VALUE"""),527.41)</f>
        <v>527.41</v>
      </c>
      <c r="C923" s="5">
        <f t="shared" ca="1" si="0"/>
        <v>1.5689069290012243E-2</v>
      </c>
    </row>
    <row r="924" spans="1:3" ht="13" x14ac:dyDescent="0.15">
      <c r="A924" s="3">
        <f ca="1">IFERROR(__xludf.DUMMYFUNCTION("""COMPUTED_VALUE"""),41779.6666666666)</f>
        <v>41779.666666666599</v>
      </c>
      <c r="B924" s="4">
        <f ca="1">IFERROR(__xludf.DUMMYFUNCTION("""COMPUTED_VALUE"""),528.32)</f>
        <v>528.32000000000005</v>
      </c>
      <c r="C924" s="5">
        <f t="shared" ca="1" si="0"/>
        <v>1.7239260518707518E-3</v>
      </c>
    </row>
    <row r="925" spans="1:3" ht="13" x14ac:dyDescent="0.15">
      <c r="A925" s="3">
        <f ca="1">IFERROR(__xludf.DUMMYFUNCTION("""COMPUTED_VALUE"""),41780.6666666666)</f>
        <v>41780.666666666599</v>
      </c>
      <c r="B925" s="4">
        <f ca="1">IFERROR(__xludf.DUMMYFUNCTION("""COMPUTED_VALUE"""),537.46)</f>
        <v>537.46</v>
      </c>
      <c r="C925" s="5">
        <f t="shared" ca="1" si="0"/>
        <v>1.7152177896201777E-2</v>
      </c>
    </row>
    <row r="926" spans="1:3" ht="13" x14ac:dyDescent="0.15">
      <c r="A926" s="3">
        <f ca="1">IFERROR(__xludf.DUMMYFUNCTION("""COMPUTED_VALUE"""),41781.6666666666)</f>
        <v>41781.666666666599</v>
      </c>
      <c r="B926" s="4">
        <f ca="1">IFERROR(__xludf.DUMMYFUNCTION("""COMPUTED_VALUE"""),543.57)</f>
        <v>543.57000000000005</v>
      </c>
      <c r="C926" s="5">
        <f t="shared" ca="1" si="0"/>
        <v>1.1304154488160823E-2</v>
      </c>
    </row>
    <row r="927" spans="1:3" ht="13" x14ac:dyDescent="0.15">
      <c r="A927" s="3">
        <f ca="1">IFERROR(__xludf.DUMMYFUNCTION("""COMPUTED_VALUE"""),41782.6666666666)</f>
        <v>41782.666666666599</v>
      </c>
      <c r="B927" s="4">
        <f ca="1">IFERROR(__xludf.DUMMYFUNCTION("""COMPUTED_VALUE"""),551.19)</f>
        <v>551.19000000000005</v>
      </c>
      <c r="C927" s="5">
        <f t="shared" ca="1" si="0"/>
        <v>1.3921084183627384E-2</v>
      </c>
    </row>
    <row r="928" spans="1:3" ht="13" x14ac:dyDescent="0.15">
      <c r="A928" s="3">
        <f ca="1">IFERROR(__xludf.DUMMYFUNCTION("""COMPUTED_VALUE"""),41786.6666666666)</f>
        <v>41786.666666666599</v>
      </c>
      <c r="B928" s="4">
        <f ca="1">IFERROR(__xludf.DUMMYFUNCTION("""COMPUTED_VALUE"""),564.4)</f>
        <v>564.4</v>
      </c>
      <c r="C928" s="5">
        <f t="shared" ca="1" si="0"/>
        <v>2.3683642678905707E-2</v>
      </c>
    </row>
    <row r="929" spans="1:3" ht="13" x14ac:dyDescent="0.15">
      <c r="A929" s="3">
        <f ca="1">IFERROR(__xludf.DUMMYFUNCTION("""COMPUTED_VALUE"""),41787.6666666666)</f>
        <v>41787.666666666599</v>
      </c>
      <c r="B929" s="4">
        <f ca="1">IFERROR(__xludf.DUMMYFUNCTION("""COMPUTED_VALUE"""),560.14)</f>
        <v>560.14</v>
      </c>
      <c r="C929" s="5">
        <f t="shared" ca="1" si="0"/>
        <v>-7.576467494256659E-3</v>
      </c>
    </row>
    <row r="930" spans="1:3" ht="13" x14ac:dyDescent="0.15">
      <c r="A930" s="3">
        <f ca="1">IFERROR(__xludf.DUMMYFUNCTION("""COMPUTED_VALUE"""),41788.6666666666)</f>
        <v>41788.666666666599</v>
      </c>
      <c r="B930" s="4">
        <f ca="1">IFERROR(__xludf.DUMMYFUNCTION("""COMPUTED_VALUE"""),558.55)</f>
        <v>558.54999999999995</v>
      </c>
      <c r="C930" s="5">
        <f t="shared" ca="1" si="0"/>
        <v>-2.8426124675449164E-3</v>
      </c>
    </row>
    <row r="931" spans="1:3" ht="13" x14ac:dyDescent="0.15">
      <c r="A931" s="3">
        <f ca="1">IFERROR(__xludf.DUMMYFUNCTION("""COMPUTED_VALUE"""),41789.6666666666)</f>
        <v>41789.666666666599</v>
      </c>
      <c r="B931" s="4">
        <f ca="1">IFERROR(__xludf.DUMMYFUNCTION("""COMPUTED_VALUE"""),558.36)</f>
        <v>558.36</v>
      </c>
      <c r="C931" s="5">
        <f t="shared" ca="1" si="0"/>
        <v>-3.4022437229986566E-4</v>
      </c>
    </row>
    <row r="932" spans="1:3" ht="13" x14ac:dyDescent="0.15">
      <c r="A932" s="3">
        <f ca="1">IFERROR(__xludf.DUMMYFUNCTION("""COMPUTED_VALUE"""),41792.6666666666)</f>
        <v>41792.666666666599</v>
      </c>
      <c r="B932" s="4">
        <f ca="1">IFERROR(__xludf.DUMMYFUNCTION("""COMPUTED_VALUE"""),552.41)</f>
        <v>552.41</v>
      </c>
      <c r="C932" s="5">
        <f t="shared" ca="1" si="0"/>
        <v>-1.0713391449234073E-2</v>
      </c>
    </row>
    <row r="933" spans="1:3" ht="13" x14ac:dyDescent="0.15">
      <c r="A933" s="3">
        <f ca="1">IFERROR(__xludf.DUMMYFUNCTION("""COMPUTED_VALUE"""),41793.6666666666)</f>
        <v>41793.666666666599</v>
      </c>
      <c r="B933" s="4">
        <f ca="1">IFERROR(__xludf.DUMMYFUNCTION("""COMPUTED_VALUE"""),543.45)</f>
        <v>543.45000000000005</v>
      </c>
      <c r="C933" s="5">
        <f t="shared" ca="1" si="0"/>
        <v>-1.6352818186127348E-2</v>
      </c>
    </row>
    <row r="934" spans="1:3" ht="13" x14ac:dyDescent="0.15">
      <c r="A934" s="3">
        <f ca="1">IFERROR(__xludf.DUMMYFUNCTION("""COMPUTED_VALUE"""),41794.6666666666)</f>
        <v>41794.666666666599</v>
      </c>
      <c r="B934" s="4">
        <f ca="1">IFERROR(__xludf.DUMMYFUNCTION("""COMPUTED_VALUE"""),543.17)</f>
        <v>543.16999999999996</v>
      </c>
      <c r="C934" s="5">
        <f t="shared" ca="1" si="0"/>
        <v>-5.1535956672486155E-4</v>
      </c>
    </row>
    <row r="935" spans="1:3" ht="13" x14ac:dyDescent="0.15">
      <c r="A935" s="3">
        <f ca="1">IFERROR(__xludf.DUMMYFUNCTION("""COMPUTED_VALUE"""),41795.6666666666)</f>
        <v>41795.666666666599</v>
      </c>
      <c r="B935" s="4">
        <f ca="1">IFERROR(__xludf.DUMMYFUNCTION("""COMPUTED_VALUE"""),552.38)</f>
        <v>552.38</v>
      </c>
      <c r="C935" s="5">
        <f t="shared" ca="1" si="0"/>
        <v>1.6813868789144468E-2</v>
      </c>
    </row>
    <row r="936" spans="1:3" ht="13" x14ac:dyDescent="0.15">
      <c r="A936" s="3">
        <f ca="1">IFERROR(__xludf.DUMMYFUNCTION("""COMPUTED_VALUE"""),41796.6666666666)</f>
        <v>41796.666666666599</v>
      </c>
      <c r="B936" s="4">
        <f ca="1">IFERROR(__xludf.DUMMYFUNCTION("""COMPUTED_VALUE"""),554.81)</f>
        <v>554.80999999999995</v>
      </c>
      <c r="C936" s="5">
        <f t="shared" ca="1" si="0"/>
        <v>4.3894975599594321E-3</v>
      </c>
    </row>
    <row r="937" spans="1:3" ht="13" x14ac:dyDescent="0.15">
      <c r="A937" s="3">
        <f ca="1">IFERROR(__xludf.DUMMYFUNCTION("""COMPUTED_VALUE"""),41799.6666666666)</f>
        <v>41799.666666666599</v>
      </c>
      <c r="B937" s="4">
        <f ca="1">IFERROR(__xludf.DUMMYFUNCTION("""COMPUTED_VALUE"""),560.58)</f>
        <v>560.58000000000004</v>
      </c>
      <c r="C937" s="5">
        <f t="shared" ca="1" si="0"/>
        <v>1.0346249241344429E-2</v>
      </c>
    </row>
    <row r="938" spans="1:3" ht="13" x14ac:dyDescent="0.15">
      <c r="A938" s="3">
        <f ca="1">IFERROR(__xludf.DUMMYFUNCTION("""COMPUTED_VALUE"""),41800.6666666666)</f>
        <v>41800.666666666599</v>
      </c>
      <c r="B938" s="4">
        <f ca="1">IFERROR(__xludf.DUMMYFUNCTION("""COMPUTED_VALUE"""),559.02)</f>
        <v>559.02</v>
      </c>
      <c r="C938" s="5">
        <f t="shared" ca="1" si="0"/>
        <v>-2.7867113425308139E-3</v>
      </c>
    </row>
    <row r="939" spans="1:3" ht="13" x14ac:dyDescent="0.15">
      <c r="A939" s="3">
        <f ca="1">IFERROR(__xludf.DUMMYFUNCTION("""COMPUTED_VALUE"""),41801.6666666666)</f>
        <v>41801.666666666599</v>
      </c>
      <c r="B939" s="4">
        <f ca="1">IFERROR(__xludf.DUMMYFUNCTION("""COMPUTED_VALUE"""),557.31)</f>
        <v>557.30999999999995</v>
      </c>
      <c r="C939" s="5">
        <f t="shared" ca="1" si="0"/>
        <v>-3.063612618966149E-3</v>
      </c>
    </row>
    <row r="940" spans="1:3" ht="13" x14ac:dyDescent="0.15">
      <c r="A940" s="3">
        <f ca="1">IFERROR(__xludf.DUMMYFUNCTION("""COMPUTED_VALUE"""),41802.6666666666)</f>
        <v>41802.666666666599</v>
      </c>
      <c r="B940" s="4">
        <f ca="1">IFERROR(__xludf.DUMMYFUNCTION("""COMPUTED_VALUE"""),549.84)</f>
        <v>549.84</v>
      </c>
      <c r="C940" s="5">
        <f t="shared" ca="1" si="0"/>
        <v>-1.3494311258072518E-2</v>
      </c>
    </row>
    <row r="941" spans="1:3" ht="13" x14ac:dyDescent="0.15">
      <c r="A941" s="3">
        <f ca="1">IFERROR(__xludf.DUMMYFUNCTION("""COMPUTED_VALUE"""),41803.6666666666)</f>
        <v>41803.666666666599</v>
      </c>
      <c r="B941" s="4">
        <f ca="1">IFERROR(__xludf.DUMMYFUNCTION("""COMPUTED_VALUE"""),550.25)</f>
        <v>550.25</v>
      </c>
      <c r="C941" s="5">
        <f t="shared" ca="1" si="0"/>
        <v>7.4539359322120806E-4</v>
      </c>
    </row>
    <row r="942" spans="1:3" ht="13" x14ac:dyDescent="0.15">
      <c r="A942" s="3">
        <f ca="1">IFERROR(__xludf.DUMMYFUNCTION("""COMPUTED_VALUE"""),41806.6666666666)</f>
        <v>41806.666666666599</v>
      </c>
      <c r="B942" s="4">
        <f ca="1">IFERROR(__xludf.DUMMYFUNCTION("""COMPUTED_VALUE"""),542.79)</f>
        <v>542.79</v>
      </c>
      <c r="C942" s="5">
        <f t="shared" ca="1" si="0"/>
        <v>-1.365021560745633E-2</v>
      </c>
    </row>
    <row r="943" spans="1:3" ht="13" x14ac:dyDescent="0.15">
      <c r="A943" s="3">
        <f ca="1">IFERROR(__xludf.DUMMYFUNCTION("""COMPUTED_VALUE"""),41807.6666666666)</f>
        <v>41807.666666666599</v>
      </c>
      <c r="B943" s="4">
        <f ca="1">IFERROR(__xludf.DUMMYFUNCTION("""COMPUTED_VALUE"""),541.52)</f>
        <v>541.52</v>
      </c>
      <c r="C943" s="5">
        <f t="shared" ca="1" si="0"/>
        <v>-2.3425045987626072E-3</v>
      </c>
    </row>
    <row r="944" spans="1:3" ht="13" x14ac:dyDescent="0.15">
      <c r="A944" s="3">
        <f ca="1">IFERROR(__xludf.DUMMYFUNCTION("""COMPUTED_VALUE"""),41808.6666666666)</f>
        <v>41808.666666666599</v>
      </c>
      <c r="B944" s="4">
        <f ca="1">IFERROR(__xludf.DUMMYFUNCTION("""COMPUTED_VALUE"""),551.86)</f>
        <v>551.86</v>
      </c>
      <c r="C944" s="5">
        <f t="shared" ca="1" si="0"/>
        <v>1.8914390720537338E-2</v>
      </c>
    </row>
    <row r="945" spans="1:3" ht="13" x14ac:dyDescent="0.15">
      <c r="A945" s="3">
        <f ca="1">IFERROR(__xludf.DUMMYFUNCTION("""COMPUTED_VALUE"""),41809.6666666666)</f>
        <v>41809.666666666599</v>
      </c>
      <c r="B945" s="4">
        <f ca="1">IFERROR(__xludf.DUMMYFUNCTION("""COMPUTED_VALUE"""),553.38)</f>
        <v>553.38</v>
      </c>
      <c r="C945" s="5">
        <f t="shared" ca="1" si="0"/>
        <v>2.7505355547929769E-3</v>
      </c>
    </row>
    <row r="946" spans="1:3" ht="13" x14ac:dyDescent="0.15">
      <c r="A946" s="3">
        <f ca="1">IFERROR(__xludf.DUMMYFUNCTION("""COMPUTED_VALUE"""),41810.6666666666)</f>
        <v>41810.666666666599</v>
      </c>
      <c r="B946" s="4">
        <f ca="1">IFERROR(__xludf.DUMMYFUNCTION("""COMPUTED_VALUE"""),554.84)</f>
        <v>554.84</v>
      </c>
      <c r="C946" s="5">
        <f t="shared" ca="1" si="0"/>
        <v>2.6348574194068513E-3</v>
      </c>
    </row>
    <row r="947" spans="1:3" ht="13" x14ac:dyDescent="0.15">
      <c r="A947" s="3">
        <f ca="1">IFERROR(__xludf.DUMMYFUNCTION("""COMPUTED_VALUE"""),41813.6666666666)</f>
        <v>41813.666666666599</v>
      </c>
      <c r="B947" s="4">
        <f ca="1">IFERROR(__xludf.DUMMYFUNCTION("""COMPUTED_VALUE"""),563.4)</f>
        <v>563.4</v>
      </c>
      <c r="C947" s="5">
        <f t="shared" ca="1" si="0"/>
        <v>1.5310071547182738E-2</v>
      </c>
    </row>
    <row r="948" spans="1:3" ht="13" x14ac:dyDescent="0.15">
      <c r="A948" s="3">
        <f ca="1">IFERROR(__xludf.DUMMYFUNCTION("""COMPUTED_VALUE"""),41814.6666666666)</f>
        <v>41814.666666666599</v>
      </c>
      <c r="B948" s="4">
        <f ca="1">IFERROR(__xludf.DUMMYFUNCTION("""COMPUTED_VALUE"""),563.07)</f>
        <v>563.07000000000005</v>
      </c>
      <c r="C948" s="5">
        <f t="shared" ca="1" si="0"/>
        <v>-5.8590110600388774E-4</v>
      </c>
    </row>
    <row r="949" spans="1:3" ht="13" x14ac:dyDescent="0.15">
      <c r="A949" s="3">
        <f ca="1">IFERROR(__xludf.DUMMYFUNCTION("""COMPUTED_VALUE"""),41815.6666666666)</f>
        <v>41815.666666666599</v>
      </c>
      <c r="B949" s="4">
        <f ca="1">IFERROR(__xludf.DUMMYFUNCTION("""COMPUTED_VALUE"""),577.07)</f>
        <v>577.07000000000005</v>
      </c>
      <c r="C949" s="5">
        <f t="shared" ca="1" si="0"/>
        <v>2.4559621971212447E-2</v>
      </c>
    </row>
    <row r="950" spans="1:3" ht="13" x14ac:dyDescent="0.15">
      <c r="A950" s="3">
        <f ca="1">IFERROR(__xludf.DUMMYFUNCTION("""COMPUTED_VALUE"""),41816.6666666666)</f>
        <v>41816.666666666599</v>
      </c>
      <c r="B950" s="4">
        <f ca="1">IFERROR(__xludf.DUMMYFUNCTION("""COMPUTED_VALUE"""),574.42)</f>
        <v>574.41999999999996</v>
      </c>
      <c r="C950" s="5">
        <f t="shared" ca="1" si="0"/>
        <v>-4.6027402381274424E-3</v>
      </c>
    </row>
    <row r="951" spans="1:3" ht="13" x14ac:dyDescent="0.15">
      <c r="A951" s="3">
        <f ca="1">IFERROR(__xludf.DUMMYFUNCTION("""COMPUTED_VALUE"""),41817.6666666666)</f>
        <v>41817.666666666599</v>
      </c>
      <c r="B951" s="4">
        <f ca="1">IFERROR(__xludf.DUMMYFUNCTION("""COMPUTED_VALUE"""),575.66)</f>
        <v>575.66</v>
      </c>
      <c r="C951" s="5">
        <f t="shared" ca="1" si="0"/>
        <v>2.1563725662459682E-3</v>
      </c>
    </row>
    <row r="952" spans="1:3" ht="13" x14ac:dyDescent="0.15">
      <c r="A952" s="3">
        <f ca="1">IFERROR(__xludf.DUMMYFUNCTION("""COMPUTED_VALUE"""),41820.6666666666)</f>
        <v>41820.666666666599</v>
      </c>
      <c r="B952" s="4">
        <f ca="1">IFERROR(__xludf.DUMMYFUNCTION("""COMPUTED_VALUE"""),573.71)</f>
        <v>573.71</v>
      </c>
      <c r="C952" s="5">
        <f t="shared" ca="1" si="0"/>
        <v>-3.393166466770639E-3</v>
      </c>
    </row>
    <row r="953" spans="1:3" ht="13" x14ac:dyDescent="0.15">
      <c r="A953" s="3">
        <f ca="1">IFERROR(__xludf.DUMMYFUNCTION("""COMPUTED_VALUE"""),41821.6666666666)</f>
        <v>41821.666666666599</v>
      </c>
      <c r="B953" s="4">
        <f ca="1">IFERROR(__xludf.DUMMYFUNCTION("""COMPUTED_VALUE"""),581.07)</f>
        <v>581.07000000000005</v>
      </c>
      <c r="C953" s="5">
        <f t="shared" ca="1" si="0"/>
        <v>1.2747189353429106E-2</v>
      </c>
    </row>
    <row r="954" spans="1:3" ht="13" x14ac:dyDescent="0.15">
      <c r="A954" s="3">
        <f ca="1">IFERROR(__xludf.DUMMYFUNCTION("""COMPUTED_VALUE"""),41822.6666666666)</f>
        <v>41822.666666666599</v>
      </c>
      <c r="B954" s="4">
        <f ca="1">IFERROR(__xludf.DUMMYFUNCTION("""COMPUTED_VALUE"""),580.74)</f>
        <v>580.74</v>
      </c>
      <c r="C954" s="5">
        <f t="shared" ca="1" si="0"/>
        <v>-5.68079133205388E-4</v>
      </c>
    </row>
    <row r="955" spans="1:3" ht="13" x14ac:dyDescent="0.15">
      <c r="A955" s="3">
        <f ca="1">IFERROR(__xludf.DUMMYFUNCTION("""COMPUTED_VALUE"""),41823.6666666666)</f>
        <v>41823.666666666599</v>
      </c>
      <c r="B955" s="4">
        <f ca="1">IFERROR(__xludf.DUMMYFUNCTION("""COMPUTED_VALUE"""),583.13)</f>
        <v>583.13</v>
      </c>
      <c r="C955" s="5">
        <f t="shared" ca="1" si="0"/>
        <v>4.1069936666849778E-3</v>
      </c>
    </row>
    <row r="956" spans="1:3" ht="13" x14ac:dyDescent="0.15">
      <c r="A956" s="3">
        <f ca="1">IFERROR(__xludf.DUMMYFUNCTION("""COMPUTED_VALUE"""),41827.6666666666)</f>
        <v>41827.666666666599</v>
      </c>
      <c r="B956" s="4">
        <f ca="1">IFERROR(__xludf.DUMMYFUNCTION("""COMPUTED_VALUE"""),580.66)</f>
        <v>580.66</v>
      </c>
      <c r="C956" s="5">
        <f t="shared" ca="1" si="0"/>
        <v>-4.2447584335637721E-3</v>
      </c>
    </row>
    <row r="957" spans="1:3" ht="13" x14ac:dyDescent="0.15">
      <c r="A957" s="3">
        <f ca="1">IFERROR(__xludf.DUMMYFUNCTION("""COMPUTED_VALUE"""),41828.6666666666)</f>
        <v>41828.666666666599</v>
      </c>
      <c r="B957" s="4">
        <f ca="1">IFERROR(__xludf.DUMMYFUNCTION("""COMPUTED_VALUE"""),569.53)</f>
        <v>569.53</v>
      </c>
      <c r="C957" s="5">
        <f t="shared" ca="1" si="0"/>
        <v>-1.9353928334829528E-2</v>
      </c>
    </row>
    <row r="958" spans="1:3" ht="13" x14ac:dyDescent="0.15">
      <c r="A958" s="3">
        <f ca="1">IFERROR(__xludf.DUMMYFUNCTION("""COMPUTED_VALUE"""),41829.6666666666)</f>
        <v>41829.666666666599</v>
      </c>
      <c r="B958" s="4">
        <f ca="1">IFERROR(__xludf.DUMMYFUNCTION("""COMPUTED_VALUE"""),574.5)</f>
        <v>574.5</v>
      </c>
      <c r="C958" s="5">
        <f t="shared" ca="1" si="0"/>
        <v>8.6886380014665476E-3</v>
      </c>
    </row>
    <row r="959" spans="1:3" ht="13" x14ac:dyDescent="0.15">
      <c r="A959" s="3">
        <f ca="1">IFERROR(__xludf.DUMMYFUNCTION("""COMPUTED_VALUE"""),41830.6666666666)</f>
        <v>41830.666666666599</v>
      </c>
      <c r="B959" s="4">
        <f ca="1">IFERROR(__xludf.DUMMYFUNCTION("""COMPUTED_VALUE"""),569.54)</f>
        <v>569.54</v>
      </c>
      <c r="C959" s="5">
        <f t="shared" ca="1" si="0"/>
        <v>-8.6710798180358352E-3</v>
      </c>
    </row>
    <row r="960" spans="1:3" ht="13" x14ac:dyDescent="0.15">
      <c r="A960" s="3">
        <f ca="1">IFERROR(__xludf.DUMMYFUNCTION("""COMPUTED_VALUE"""),41831.6666666666)</f>
        <v>41831.666666666599</v>
      </c>
      <c r="B960" s="4">
        <f ca="1">IFERROR(__xludf.DUMMYFUNCTION("""COMPUTED_VALUE"""),577.59)</f>
        <v>577.59</v>
      </c>
      <c r="C960" s="5">
        <f t="shared" ca="1" si="0"/>
        <v>1.4035256938579389E-2</v>
      </c>
    </row>
    <row r="961" spans="1:3" ht="13" x14ac:dyDescent="0.15">
      <c r="A961" s="3">
        <f ca="1">IFERROR(__xludf.DUMMYFUNCTION("""COMPUTED_VALUE"""),41834.6666666666)</f>
        <v>41834.666666666599</v>
      </c>
      <c r="B961" s="4">
        <f ca="1">IFERROR(__xludf.DUMMYFUNCTION("""COMPUTED_VALUE"""),583.27)</f>
        <v>583.27</v>
      </c>
      <c r="C961" s="5">
        <f t="shared" ca="1" si="0"/>
        <v>9.7859265172204352E-3</v>
      </c>
    </row>
    <row r="962" spans="1:3" ht="13" x14ac:dyDescent="0.15">
      <c r="A962" s="3">
        <f ca="1">IFERROR(__xludf.DUMMYFUNCTION("""COMPUTED_VALUE"""),41835.6666666666)</f>
        <v>41835.666666666599</v>
      </c>
      <c r="B962" s="4">
        <f ca="1">IFERROR(__xludf.DUMMYFUNCTION("""COMPUTED_VALUE"""),583.18)</f>
        <v>583.17999999999995</v>
      </c>
      <c r="C962" s="5">
        <f t="shared" ca="1" si="0"/>
        <v>-1.5431437297554234E-4</v>
      </c>
    </row>
    <row r="963" spans="1:3" ht="13" x14ac:dyDescent="0.15">
      <c r="A963" s="3">
        <f ca="1">IFERROR(__xludf.DUMMYFUNCTION("""COMPUTED_VALUE"""),41836.6666666666)</f>
        <v>41836.666666666599</v>
      </c>
      <c r="B963" s="4">
        <f ca="1">IFERROR(__xludf.DUMMYFUNCTION("""COMPUTED_VALUE"""),581.06)</f>
        <v>581.05999999999995</v>
      </c>
      <c r="C963" s="5">
        <f t="shared" ca="1" si="0"/>
        <v>-3.6418648099381255E-3</v>
      </c>
    </row>
    <row r="964" spans="1:3" ht="13" x14ac:dyDescent="0.15">
      <c r="A964" s="3">
        <f ca="1">IFERROR(__xludf.DUMMYFUNCTION("""COMPUTED_VALUE"""),41837.6666666666)</f>
        <v>41837.666666666599</v>
      </c>
      <c r="B964" s="4">
        <f ca="1">IFERROR(__xludf.DUMMYFUNCTION("""COMPUTED_VALUE"""),572.16)</f>
        <v>572.16</v>
      </c>
      <c r="C964" s="5">
        <f t="shared" ca="1" si="0"/>
        <v>-1.5435349198566208E-2</v>
      </c>
    </row>
    <row r="965" spans="1:3" ht="13" x14ac:dyDescent="0.15">
      <c r="A965" s="3">
        <f ca="1">IFERROR(__xludf.DUMMYFUNCTION("""COMPUTED_VALUE"""),41838.6666666666)</f>
        <v>41838.666666666599</v>
      </c>
      <c r="B965" s="4">
        <f ca="1">IFERROR(__xludf.DUMMYFUNCTION("""COMPUTED_VALUE"""),593.45)</f>
        <v>593.45000000000005</v>
      </c>
      <c r="C965" s="5">
        <f t="shared" ca="1" si="0"/>
        <v>3.6534291957419703E-2</v>
      </c>
    </row>
    <row r="966" spans="1:3" ht="13" x14ac:dyDescent="0.15">
      <c r="A966" s="3">
        <f ca="1">IFERROR(__xludf.DUMMYFUNCTION("""COMPUTED_VALUE"""),41841.6666666666)</f>
        <v>41841.666666666599</v>
      </c>
      <c r="B966" s="4">
        <f ca="1">IFERROR(__xludf.DUMMYFUNCTION("""COMPUTED_VALUE"""),587.86)</f>
        <v>587.86</v>
      </c>
      <c r="C966" s="5">
        <f t="shared" ca="1" si="0"/>
        <v>-9.4641401911537571E-3</v>
      </c>
    </row>
    <row r="967" spans="1:3" ht="13" x14ac:dyDescent="0.15">
      <c r="A967" s="3">
        <f ca="1">IFERROR(__xludf.DUMMYFUNCTION("""COMPUTED_VALUE"""),41842.6666666666)</f>
        <v>41842.666666666599</v>
      </c>
      <c r="B967" s="4">
        <f ca="1">IFERROR(__xludf.DUMMYFUNCTION("""COMPUTED_VALUE"""),593.11)</f>
        <v>593.11</v>
      </c>
      <c r="C967" s="5">
        <f t="shared" ca="1" si="0"/>
        <v>8.8910549543254058E-3</v>
      </c>
    </row>
    <row r="968" spans="1:3" ht="13" x14ac:dyDescent="0.15">
      <c r="A968" s="3">
        <f ca="1">IFERROR(__xludf.DUMMYFUNCTION("""COMPUTED_VALUE"""),41843.6666666666)</f>
        <v>41843.666666666599</v>
      </c>
      <c r="B968" s="4">
        <f ca="1">IFERROR(__xludf.DUMMYFUNCTION("""COMPUTED_VALUE"""),594.35)</f>
        <v>594.35</v>
      </c>
      <c r="C968" s="5">
        <f t="shared" ca="1" si="0"/>
        <v>2.0884921609473006E-3</v>
      </c>
    </row>
    <row r="969" spans="1:3" ht="13" x14ac:dyDescent="0.15">
      <c r="A969" s="3">
        <f ca="1">IFERROR(__xludf.DUMMYFUNCTION("""COMPUTED_VALUE"""),41844.6666666666)</f>
        <v>41844.666666666599</v>
      </c>
      <c r="B969" s="4">
        <f ca="1">IFERROR(__xludf.DUMMYFUNCTION("""COMPUTED_VALUE"""),591.73)</f>
        <v>591.73</v>
      </c>
      <c r="C969" s="5">
        <f t="shared" ca="1" si="0"/>
        <v>-4.4179216603189471E-3</v>
      </c>
    </row>
    <row r="970" spans="1:3" ht="13" x14ac:dyDescent="0.15">
      <c r="A970" s="3">
        <f ca="1">IFERROR(__xludf.DUMMYFUNCTION("""COMPUTED_VALUE"""),41845.6666666666)</f>
        <v>41845.666666666599</v>
      </c>
      <c r="B970" s="4">
        <f ca="1">IFERROR(__xludf.DUMMYFUNCTION("""COMPUTED_VALUE"""),587.41)</f>
        <v>587.41</v>
      </c>
      <c r="C970" s="5">
        <f t="shared" ca="1" si="0"/>
        <v>-7.3274069723768421E-3</v>
      </c>
    </row>
    <row r="971" spans="1:3" ht="13" x14ac:dyDescent="0.15">
      <c r="A971" s="3">
        <f ca="1">IFERROR(__xludf.DUMMYFUNCTION("""COMPUTED_VALUE"""),41848.6666666666)</f>
        <v>41848.666666666599</v>
      </c>
      <c r="B971" s="4">
        <f ca="1">IFERROR(__xludf.DUMMYFUNCTION("""COMPUTED_VALUE"""),588.98)</f>
        <v>588.98</v>
      </c>
      <c r="C971" s="5">
        <f t="shared" ca="1" si="0"/>
        <v>2.6691844237505856E-3</v>
      </c>
    </row>
    <row r="972" spans="1:3" ht="13" x14ac:dyDescent="0.15">
      <c r="A972" s="3">
        <f ca="1">IFERROR(__xludf.DUMMYFUNCTION("""COMPUTED_VALUE"""),41849.6666666666)</f>
        <v>41849.666666666599</v>
      </c>
      <c r="B972" s="4">
        <f ca="1">IFERROR(__xludf.DUMMYFUNCTION("""COMPUTED_VALUE"""),584.01)</f>
        <v>584.01</v>
      </c>
      <c r="C972" s="5">
        <f t="shared" ca="1" si="0"/>
        <v>-8.4741212483917302E-3</v>
      </c>
    </row>
    <row r="973" spans="1:3" ht="13" x14ac:dyDescent="0.15">
      <c r="A973" s="3">
        <f ca="1">IFERROR(__xludf.DUMMYFUNCTION("""COMPUTED_VALUE"""),41850.6666666666)</f>
        <v>41850.666666666599</v>
      </c>
      <c r="B973" s="4">
        <f ca="1">IFERROR(__xludf.DUMMYFUNCTION("""COMPUTED_VALUE"""),585.81)</f>
        <v>585.80999999999995</v>
      </c>
      <c r="C973" s="5">
        <f t="shared" ca="1" si="0"/>
        <v>3.077398951218831E-3</v>
      </c>
    </row>
    <row r="974" spans="1:3" ht="13" x14ac:dyDescent="0.15">
      <c r="A974" s="3">
        <f ca="1">IFERROR(__xludf.DUMMYFUNCTION("""COMPUTED_VALUE"""),41851.6666666666)</f>
        <v>41851.666666666599</v>
      </c>
      <c r="B974" s="4">
        <f ca="1">IFERROR(__xludf.DUMMYFUNCTION("""COMPUTED_VALUE"""),570.04)</f>
        <v>570.04</v>
      </c>
      <c r="C974" s="5">
        <f t="shared" ca="1" si="0"/>
        <v>-2.7288971115503827E-2</v>
      </c>
    </row>
    <row r="975" spans="1:3" ht="13" x14ac:dyDescent="0.15">
      <c r="A975" s="3">
        <f ca="1">IFERROR(__xludf.DUMMYFUNCTION("""COMPUTED_VALUE"""),41852.6666666666)</f>
        <v>41852.666666666599</v>
      </c>
      <c r="B975" s="4">
        <f ca="1">IFERROR(__xludf.DUMMYFUNCTION("""COMPUTED_VALUE"""),564.52)</f>
        <v>564.52</v>
      </c>
      <c r="C975" s="5">
        <f t="shared" ca="1" si="0"/>
        <v>-9.7307212592051898E-3</v>
      </c>
    </row>
    <row r="976" spans="1:3" ht="13" x14ac:dyDescent="0.15">
      <c r="A976" s="3">
        <f ca="1">IFERROR(__xludf.DUMMYFUNCTION("""COMPUTED_VALUE"""),41855.6666666666)</f>
        <v>41855.666666666599</v>
      </c>
      <c r="B976" s="4">
        <f ca="1">IFERROR(__xludf.DUMMYFUNCTION("""COMPUTED_VALUE"""),571.58)</f>
        <v>571.58000000000004</v>
      </c>
      <c r="C976" s="5">
        <f t="shared" ca="1" si="0"/>
        <v>1.2428643394610143E-2</v>
      </c>
    </row>
    <row r="977" spans="1:3" ht="13" x14ac:dyDescent="0.15">
      <c r="A977" s="3">
        <f ca="1">IFERROR(__xludf.DUMMYFUNCTION("""COMPUTED_VALUE"""),41856.6666666666)</f>
        <v>41856.666666666599</v>
      </c>
      <c r="B977" s="4">
        <f ca="1">IFERROR(__xludf.DUMMYFUNCTION("""COMPUTED_VALUE"""),563.52)</f>
        <v>563.52</v>
      </c>
      <c r="C977" s="5">
        <f t="shared" ca="1" si="0"/>
        <v>-1.4201630632575098E-2</v>
      </c>
    </row>
    <row r="978" spans="1:3" ht="13" x14ac:dyDescent="0.15">
      <c r="A978" s="3">
        <f ca="1">IFERROR(__xludf.DUMMYFUNCTION("""COMPUTED_VALUE"""),41857.6666666666)</f>
        <v>41857.666666666599</v>
      </c>
      <c r="B978" s="4">
        <f ca="1">IFERROR(__xludf.DUMMYFUNCTION("""COMPUTED_VALUE"""),564.82)</f>
        <v>564.82000000000005</v>
      </c>
      <c r="C978" s="5">
        <f t="shared" ca="1" si="0"/>
        <v>2.3042710091173645E-3</v>
      </c>
    </row>
    <row r="979" spans="1:3" ht="13" x14ac:dyDescent="0.15">
      <c r="A979" s="3">
        <f ca="1">IFERROR(__xludf.DUMMYFUNCTION("""COMPUTED_VALUE"""),41858.6666666666)</f>
        <v>41858.666666666599</v>
      </c>
      <c r="B979" s="4">
        <f ca="1">IFERROR(__xludf.DUMMYFUNCTION("""COMPUTED_VALUE"""),561.82)</f>
        <v>561.82000000000005</v>
      </c>
      <c r="C979" s="5">
        <f t="shared" ca="1" si="0"/>
        <v>-5.3255824228744877E-3</v>
      </c>
    </row>
    <row r="980" spans="1:3" ht="13" x14ac:dyDescent="0.15">
      <c r="A980" s="3">
        <f ca="1">IFERROR(__xludf.DUMMYFUNCTION("""COMPUTED_VALUE"""),41859.6666666666)</f>
        <v>41859.666666666599</v>
      </c>
      <c r="B980" s="4">
        <f ca="1">IFERROR(__xludf.DUMMYFUNCTION("""COMPUTED_VALUE"""),567.21)</f>
        <v>567.21</v>
      </c>
      <c r="C980" s="5">
        <f t="shared" ca="1" si="0"/>
        <v>9.5480916338631233E-3</v>
      </c>
    </row>
    <row r="981" spans="1:3" ht="13" x14ac:dyDescent="0.15">
      <c r="A981" s="3">
        <f ca="1">IFERROR(__xludf.DUMMYFUNCTION("""COMPUTED_VALUE"""),41862.6666666666)</f>
        <v>41862.666666666599</v>
      </c>
      <c r="B981" s="4">
        <f ca="1">IFERROR(__xludf.DUMMYFUNCTION("""COMPUTED_VALUE"""),566.33)</f>
        <v>566.33000000000004</v>
      </c>
      <c r="C981" s="5">
        <f t="shared" ca="1" si="0"/>
        <v>-1.552658356631712E-3</v>
      </c>
    </row>
    <row r="982" spans="1:3" ht="13" x14ac:dyDescent="0.15">
      <c r="A982" s="3">
        <f ca="1">IFERROR(__xludf.DUMMYFUNCTION("""COMPUTED_VALUE"""),41863.6666666666)</f>
        <v>41863.666666666599</v>
      </c>
      <c r="B982" s="4">
        <f ca="1">IFERROR(__xludf.DUMMYFUNCTION("""COMPUTED_VALUE"""),561.19)</f>
        <v>561.19000000000005</v>
      </c>
      <c r="C982" s="5">
        <f t="shared" ca="1" si="0"/>
        <v>-9.1174180611418368E-3</v>
      </c>
    </row>
    <row r="983" spans="1:3" ht="13" x14ac:dyDescent="0.15">
      <c r="A983" s="3">
        <f ca="1">IFERROR(__xludf.DUMMYFUNCTION("""COMPUTED_VALUE"""),41864.6666666666)</f>
        <v>41864.666666666599</v>
      </c>
      <c r="B983" s="4">
        <f ca="1">IFERROR(__xludf.DUMMYFUNCTION("""COMPUTED_VALUE"""),573.21)</f>
        <v>573.21</v>
      </c>
      <c r="C983" s="5">
        <f t="shared" ca="1" si="0"/>
        <v>2.1192612609320226E-2</v>
      </c>
    </row>
    <row r="984" spans="1:3" ht="13" x14ac:dyDescent="0.15">
      <c r="A984" s="3">
        <f ca="1">IFERROR(__xludf.DUMMYFUNCTION("""COMPUTED_VALUE"""),41865.6666666666)</f>
        <v>41865.666666666599</v>
      </c>
      <c r="B984" s="4">
        <f ca="1">IFERROR(__xludf.DUMMYFUNCTION("""COMPUTED_VALUE"""),573.08)</f>
        <v>573.08000000000004</v>
      </c>
      <c r="C984" s="5">
        <f t="shared" ca="1" si="0"/>
        <v>-2.2681869432226388E-4</v>
      </c>
    </row>
    <row r="985" spans="1:3" ht="13" x14ac:dyDescent="0.15">
      <c r="A985" s="3">
        <f ca="1">IFERROR(__xludf.DUMMYFUNCTION("""COMPUTED_VALUE"""),41866.6666666666)</f>
        <v>41866.666666666599</v>
      </c>
      <c r="B985" s="4">
        <f ca="1">IFERROR(__xludf.DUMMYFUNCTION("""COMPUTED_VALUE"""),571.91)</f>
        <v>571.91</v>
      </c>
      <c r="C985" s="5">
        <f t="shared" ca="1" si="0"/>
        <v>-2.0436866823709265E-3</v>
      </c>
    </row>
    <row r="986" spans="1:3" ht="13" x14ac:dyDescent="0.15">
      <c r="A986" s="3">
        <f ca="1">IFERROR(__xludf.DUMMYFUNCTION("""COMPUTED_VALUE"""),41869.6666666666)</f>
        <v>41869.666666666599</v>
      </c>
      <c r="B986" s="4">
        <f ca="1">IFERROR(__xludf.DUMMYFUNCTION("""COMPUTED_VALUE"""),580.57)</f>
        <v>580.57000000000005</v>
      </c>
      <c r="C986" s="5">
        <f t="shared" ca="1" si="0"/>
        <v>1.5028743227255196E-2</v>
      </c>
    </row>
    <row r="987" spans="1:3" ht="13" x14ac:dyDescent="0.15">
      <c r="A987" s="3">
        <f ca="1">IFERROR(__xludf.DUMMYFUNCTION("""COMPUTED_VALUE"""),41870.6666666666)</f>
        <v>41870.666666666599</v>
      </c>
      <c r="B987" s="4">
        <f ca="1">IFERROR(__xludf.DUMMYFUNCTION("""COMPUTED_VALUE"""),585.25)</f>
        <v>585.25</v>
      </c>
      <c r="C987" s="5">
        <f t="shared" ca="1" si="0"/>
        <v>8.0287268009641369E-3</v>
      </c>
    </row>
    <row r="988" spans="1:3" ht="13" x14ac:dyDescent="0.15">
      <c r="A988" s="3">
        <f ca="1">IFERROR(__xludf.DUMMYFUNCTION("""COMPUTED_VALUE"""),41871.6666666666)</f>
        <v>41871.666666666599</v>
      </c>
      <c r="B988" s="4">
        <f ca="1">IFERROR(__xludf.DUMMYFUNCTION("""COMPUTED_VALUE"""),582.89)</f>
        <v>582.89</v>
      </c>
      <c r="C988" s="5">
        <f t="shared" ca="1" si="0"/>
        <v>-4.0406170679788958E-3</v>
      </c>
    </row>
    <row r="989" spans="1:3" ht="13" x14ac:dyDescent="0.15">
      <c r="A989" s="3">
        <f ca="1">IFERROR(__xludf.DUMMYFUNCTION("""COMPUTED_VALUE"""),41872.6666666666)</f>
        <v>41872.666666666599</v>
      </c>
      <c r="B989" s="4">
        <f ca="1">IFERROR(__xludf.DUMMYFUNCTION("""COMPUTED_VALUE"""),581.77)</f>
        <v>581.77</v>
      </c>
      <c r="C989" s="5">
        <f t="shared" ca="1" si="0"/>
        <v>-1.923308682793031E-3</v>
      </c>
    </row>
    <row r="990" spans="1:3" ht="13" x14ac:dyDescent="0.15">
      <c r="A990" s="3">
        <f ca="1">IFERROR(__xludf.DUMMYFUNCTION("""COMPUTED_VALUE"""),41873.6666666666)</f>
        <v>41873.666666666599</v>
      </c>
      <c r="B990" s="4">
        <f ca="1">IFERROR(__xludf.DUMMYFUNCTION("""COMPUTED_VALUE"""),580.97)</f>
        <v>580.97</v>
      </c>
      <c r="C990" s="5">
        <f t="shared" ca="1" si="0"/>
        <v>-1.3760602133513211E-3</v>
      </c>
    </row>
    <row r="991" spans="1:3" ht="13" x14ac:dyDescent="0.15">
      <c r="A991" s="3">
        <f ca="1">IFERROR(__xludf.DUMMYFUNCTION("""COMPUTED_VALUE"""),41876.6666666666)</f>
        <v>41876.666666666599</v>
      </c>
      <c r="B991" s="4">
        <f ca="1">IFERROR(__xludf.DUMMYFUNCTION("""COMPUTED_VALUE"""),578.61)</f>
        <v>578.61</v>
      </c>
      <c r="C991" s="5">
        <f t="shared" ca="1" si="0"/>
        <v>-4.0704449170821787E-3</v>
      </c>
    </row>
    <row r="992" spans="1:3" ht="13" x14ac:dyDescent="0.15">
      <c r="A992" s="3">
        <f ca="1">IFERROR(__xludf.DUMMYFUNCTION("""COMPUTED_VALUE"""),41877.6666666666)</f>
        <v>41877.666666666599</v>
      </c>
      <c r="B992" s="4">
        <f ca="1">IFERROR(__xludf.DUMMYFUNCTION("""COMPUTED_VALUE"""),576.28)</f>
        <v>576.28</v>
      </c>
      <c r="C992" s="5">
        <f t="shared" ca="1" si="0"/>
        <v>-4.0350217965425383E-3</v>
      </c>
    </row>
    <row r="993" spans="1:3" ht="13" x14ac:dyDescent="0.15">
      <c r="A993" s="3">
        <f ca="1">IFERROR(__xludf.DUMMYFUNCTION("""COMPUTED_VALUE"""),41878.6666666666)</f>
        <v>41878.666666666599</v>
      </c>
      <c r="B993" s="4">
        <f ca="1">IFERROR(__xludf.DUMMYFUNCTION("""COMPUTED_VALUE"""),569.44)</f>
        <v>569.44000000000005</v>
      </c>
      <c r="C993" s="5">
        <f t="shared" ca="1" si="0"/>
        <v>-1.194023193138957E-2</v>
      </c>
    </row>
    <row r="994" spans="1:3" ht="13" x14ac:dyDescent="0.15">
      <c r="A994" s="3">
        <f ca="1">IFERROR(__xludf.DUMMYFUNCTION("""COMPUTED_VALUE"""),41879.6666666666)</f>
        <v>41879.666666666599</v>
      </c>
      <c r="B994" s="4">
        <f ca="1">IFERROR(__xludf.DUMMYFUNCTION("""COMPUTED_VALUE"""),567.64)</f>
        <v>567.64</v>
      </c>
      <c r="C994" s="5">
        <f t="shared" ca="1" si="0"/>
        <v>-3.1660067955458643E-3</v>
      </c>
    </row>
    <row r="995" spans="1:3" ht="13" x14ac:dyDescent="0.15">
      <c r="A995" s="3">
        <f ca="1">IFERROR(__xludf.DUMMYFUNCTION("""COMPUTED_VALUE"""),41880.6666666666)</f>
        <v>41880.666666666599</v>
      </c>
      <c r="B995" s="4">
        <f ca="1">IFERROR(__xludf.DUMMYFUNCTION("""COMPUTED_VALUE"""),570.04)</f>
        <v>570.04</v>
      </c>
      <c r="C995" s="5">
        <f t="shared" ca="1" si="0"/>
        <v>4.2191188386745439E-3</v>
      </c>
    </row>
    <row r="996" spans="1:3" ht="13" x14ac:dyDescent="0.15">
      <c r="A996" s="3">
        <f ca="1">IFERROR(__xludf.DUMMYFUNCTION("""COMPUTED_VALUE"""),41884.6666666666)</f>
        <v>41884.666666666599</v>
      </c>
      <c r="B996" s="4">
        <f ca="1">IFERROR(__xludf.DUMMYFUNCTION("""COMPUTED_VALUE"""),575.75)</f>
        <v>575.75</v>
      </c>
      <c r="C996" s="5">
        <f t="shared" ca="1" si="0"/>
        <v>9.9670048957831991E-3</v>
      </c>
    </row>
    <row r="997" spans="1:3" ht="13" x14ac:dyDescent="0.15">
      <c r="A997" s="3">
        <f ca="1">IFERROR(__xludf.DUMMYFUNCTION("""COMPUTED_VALUE"""),41885.6666666666)</f>
        <v>41885.666666666599</v>
      </c>
      <c r="B997" s="4">
        <f ca="1">IFERROR(__xludf.DUMMYFUNCTION("""COMPUTED_VALUE"""),576.36)</f>
        <v>576.36</v>
      </c>
      <c r="C997" s="5">
        <f t="shared" ca="1" si="0"/>
        <v>1.0589267639386692E-3</v>
      </c>
    </row>
    <row r="998" spans="1:3" ht="13" x14ac:dyDescent="0.15">
      <c r="A998" s="3">
        <f ca="1">IFERROR(__xludf.DUMMYFUNCTION("""COMPUTED_VALUE"""),41886.6666666666)</f>
        <v>41886.666666666599</v>
      </c>
      <c r="B998" s="4">
        <f ca="1">IFERROR(__xludf.DUMMYFUNCTION("""COMPUTED_VALUE"""),580.39)</f>
        <v>580.39</v>
      </c>
      <c r="C998" s="5">
        <f t="shared" ca="1" si="0"/>
        <v>6.9678258999712524E-3</v>
      </c>
    </row>
    <row r="999" spans="1:3" ht="13" x14ac:dyDescent="0.15">
      <c r="A999" s="3">
        <f ca="1">IFERROR(__xludf.DUMMYFUNCTION("""COMPUTED_VALUE"""),41887.6666666666)</f>
        <v>41887.666666666599</v>
      </c>
      <c r="B999" s="4">
        <f ca="1">IFERROR(__xludf.DUMMYFUNCTION("""COMPUTED_VALUE"""),584.48)</f>
        <v>584.48</v>
      </c>
      <c r="C999" s="5">
        <f t="shared" ca="1" si="0"/>
        <v>7.0222716822678499E-3</v>
      </c>
    </row>
    <row r="1000" spans="1:3" ht="13" x14ac:dyDescent="0.15">
      <c r="A1000" s="3">
        <f ca="1">IFERROR(__xludf.DUMMYFUNCTION("""COMPUTED_VALUE"""),41890.6666666666)</f>
        <v>41890.666666666599</v>
      </c>
      <c r="B1000" s="4">
        <f ca="1">IFERROR(__xludf.DUMMYFUNCTION("""COMPUTED_VALUE"""),588.11)</f>
        <v>588.11</v>
      </c>
      <c r="C1000" s="5">
        <f t="shared" ca="1" si="0"/>
        <v>6.1914421852726142E-3</v>
      </c>
    </row>
    <row r="1001" spans="1:3" ht="13" x14ac:dyDescent="0.15">
      <c r="A1001" s="3">
        <f ca="1">IFERROR(__xludf.DUMMYFUNCTION("""COMPUTED_VALUE"""),41891.6666666666)</f>
        <v>41891.666666666599</v>
      </c>
      <c r="B1001" s="4">
        <f ca="1">IFERROR(__xludf.DUMMYFUNCTION("""COMPUTED_VALUE"""),579.42)</f>
        <v>579.41999999999996</v>
      </c>
      <c r="C1001" s="5">
        <f t="shared" ca="1" si="0"/>
        <v>-1.4886402025363581E-2</v>
      </c>
    </row>
    <row r="1002" spans="1:3" ht="13" x14ac:dyDescent="0.15">
      <c r="A1002" s="3">
        <f ca="1">IFERROR(__xludf.DUMMYFUNCTION("""COMPUTED_VALUE"""),41892.6666666666)</f>
        <v>41892.666666666599</v>
      </c>
      <c r="B1002" s="4">
        <f ca="1">IFERROR(__xludf.DUMMYFUNCTION("""COMPUTED_VALUE"""),581.5)</f>
        <v>581.5</v>
      </c>
      <c r="C1002" s="5">
        <f t="shared" ca="1" si="0"/>
        <v>3.5833687518376546E-3</v>
      </c>
    </row>
    <row r="1003" spans="1:3" ht="13" x14ac:dyDescent="0.15">
      <c r="A1003" s="3">
        <f ca="1">IFERROR(__xludf.DUMMYFUNCTION("""COMPUTED_VALUE"""),41893.6666666666)</f>
        <v>41893.666666666599</v>
      </c>
      <c r="B1003" s="4">
        <f ca="1">IFERROR(__xludf.DUMMYFUNCTION("""COMPUTED_VALUE"""),579.76)</f>
        <v>579.76</v>
      </c>
      <c r="C1003" s="5">
        <f t="shared" ca="1" si="0"/>
        <v>-2.996747157693149E-3</v>
      </c>
    </row>
    <row r="1004" spans="1:3" ht="13" x14ac:dyDescent="0.15">
      <c r="A1004" s="3">
        <f ca="1">IFERROR(__xludf.DUMMYFUNCTION("""COMPUTED_VALUE"""),41894.6666666666)</f>
        <v>41894.666666666599</v>
      </c>
      <c r="B1004" s="4">
        <f ca="1">IFERROR(__xludf.DUMMYFUNCTION("""COMPUTED_VALUE"""),574.04)</f>
        <v>574.04</v>
      </c>
      <c r="C1004" s="5">
        <f t="shared" ca="1" si="0"/>
        <v>-9.9151444982949737E-3</v>
      </c>
    </row>
    <row r="1005" spans="1:3" ht="13" x14ac:dyDescent="0.15">
      <c r="A1005" s="3">
        <f ca="1">IFERROR(__xludf.DUMMYFUNCTION("""COMPUTED_VALUE"""),41897.6666666666)</f>
        <v>41897.666666666599</v>
      </c>
      <c r="B1005" s="4">
        <f ca="1">IFERROR(__xludf.DUMMYFUNCTION("""COMPUTED_VALUE"""),571.53)</f>
        <v>571.53</v>
      </c>
      <c r="C1005" s="5">
        <f t="shared" ca="1" si="0"/>
        <v>-4.3821050072778162E-3</v>
      </c>
    </row>
    <row r="1006" spans="1:3" ht="13" x14ac:dyDescent="0.15">
      <c r="A1006" s="3">
        <f ca="1">IFERROR(__xludf.DUMMYFUNCTION("""COMPUTED_VALUE"""),41898.6666666666)</f>
        <v>41898.666666666599</v>
      </c>
      <c r="B1006" s="4">
        <f ca="1">IFERROR(__xludf.DUMMYFUNCTION("""COMPUTED_VALUE"""),578.36)</f>
        <v>578.36</v>
      </c>
      <c r="C1006" s="5">
        <f t="shared" ca="1" si="0"/>
        <v>1.1879536864472417E-2</v>
      </c>
    </row>
    <row r="1007" spans="1:3" ht="13" x14ac:dyDescent="0.15">
      <c r="A1007" s="3">
        <f ca="1">IFERROR(__xludf.DUMMYFUNCTION("""COMPUTED_VALUE"""),41899.6666666666)</f>
        <v>41899.666666666599</v>
      </c>
      <c r="B1007" s="4">
        <f ca="1">IFERROR(__xludf.DUMMYFUNCTION("""COMPUTED_VALUE"""),583.17)</f>
        <v>583.16999999999996</v>
      </c>
      <c r="C1007" s="5">
        <f t="shared" ca="1" si="0"/>
        <v>8.2822268822054443E-3</v>
      </c>
    </row>
    <row r="1008" spans="1:3" ht="13" x14ac:dyDescent="0.15">
      <c r="A1008" s="3">
        <f ca="1">IFERROR(__xludf.DUMMYFUNCTION("""COMPUTED_VALUE"""),41900.6666666666)</f>
        <v>41900.666666666599</v>
      </c>
      <c r="B1008" s="4">
        <f ca="1">IFERROR(__xludf.DUMMYFUNCTION("""COMPUTED_VALUE"""),587.66)</f>
        <v>587.66</v>
      </c>
      <c r="C1008" s="5">
        <f t="shared" ca="1" si="0"/>
        <v>7.6698103237927244E-3</v>
      </c>
    </row>
    <row r="1009" spans="1:3" ht="13" x14ac:dyDescent="0.15">
      <c r="A1009" s="3">
        <f ca="1">IFERROR(__xludf.DUMMYFUNCTION("""COMPUTED_VALUE"""),41901.6666666666)</f>
        <v>41901.666666666599</v>
      </c>
      <c r="B1009" s="4">
        <f ca="1">IFERROR(__xludf.DUMMYFUNCTION("""COMPUTED_VALUE"""),594.45)</f>
        <v>594.45000000000005</v>
      </c>
      <c r="C1009" s="5">
        <f t="shared" ca="1" si="0"/>
        <v>1.1488058938629947E-2</v>
      </c>
    </row>
    <row r="1010" spans="1:3" ht="13" x14ac:dyDescent="0.15">
      <c r="A1010" s="3">
        <f ca="1">IFERROR(__xludf.DUMMYFUNCTION("""COMPUTED_VALUE"""),41904.6666666666)</f>
        <v>41904.666666666599</v>
      </c>
      <c r="B1010" s="4">
        <f ca="1">IFERROR(__xludf.DUMMYFUNCTION("""COMPUTED_VALUE"""),585.76)</f>
        <v>585.76</v>
      </c>
      <c r="C1010" s="5">
        <f t="shared" ca="1" si="0"/>
        <v>-1.4726458932627732E-2</v>
      </c>
    </row>
    <row r="1011" spans="1:3" ht="13" x14ac:dyDescent="0.15">
      <c r="A1011" s="3">
        <f ca="1">IFERROR(__xludf.DUMMYFUNCTION("""COMPUTED_VALUE"""),41905.6666666666)</f>
        <v>41905.666666666599</v>
      </c>
      <c r="B1011" s="4">
        <f ca="1">IFERROR(__xludf.DUMMYFUNCTION("""COMPUTED_VALUE"""),579.54)</f>
        <v>579.54</v>
      </c>
      <c r="C1011" s="5">
        <f t="shared" ca="1" si="0"/>
        <v>-1.067546395266664E-2</v>
      </c>
    </row>
    <row r="1012" spans="1:3" ht="13" x14ac:dyDescent="0.15">
      <c r="A1012" s="3">
        <f ca="1">IFERROR(__xludf.DUMMYFUNCTION("""COMPUTED_VALUE"""),41906.6666666666)</f>
        <v>41906.666666666599</v>
      </c>
      <c r="B1012" s="4">
        <f ca="1">IFERROR(__xludf.DUMMYFUNCTION("""COMPUTED_VALUE"""),586.38)</f>
        <v>586.38</v>
      </c>
      <c r="C1012" s="5">
        <f t="shared" ca="1" si="0"/>
        <v>1.1733358159539894E-2</v>
      </c>
    </row>
    <row r="1013" spans="1:3" ht="13" x14ac:dyDescent="0.15">
      <c r="A1013" s="3">
        <f ca="1">IFERROR(__xludf.DUMMYFUNCTION("""COMPUTED_VALUE"""),41907.6666666666)</f>
        <v>41907.666666666599</v>
      </c>
      <c r="B1013" s="4">
        <f ca="1">IFERROR(__xludf.DUMMYFUNCTION("""COMPUTED_VALUE"""),573.49)</f>
        <v>573.49</v>
      </c>
      <c r="C1013" s="5">
        <f t="shared" ca="1" si="0"/>
        <v>-2.2227543953026899E-2</v>
      </c>
    </row>
    <row r="1014" spans="1:3" ht="13" x14ac:dyDescent="0.15">
      <c r="A1014" s="3">
        <f ca="1">IFERROR(__xludf.DUMMYFUNCTION("""COMPUTED_VALUE"""),41908.6666666666)</f>
        <v>41908.666666666599</v>
      </c>
      <c r="B1014" s="4">
        <f ca="1">IFERROR(__xludf.DUMMYFUNCTION("""COMPUTED_VALUE"""),575.52)</f>
        <v>575.52</v>
      </c>
      <c r="C1014" s="5">
        <f t="shared" ca="1" si="0"/>
        <v>3.5334803215414409E-3</v>
      </c>
    </row>
    <row r="1015" spans="1:3" ht="13" x14ac:dyDescent="0.15">
      <c r="A1015" s="3">
        <f ca="1">IFERROR(__xludf.DUMMYFUNCTION("""COMPUTED_VALUE"""),41911.6666666666)</f>
        <v>41911.666666666599</v>
      </c>
      <c r="B1015" s="4">
        <f ca="1">IFERROR(__xludf.DUMMYFUNCTION("""COMPUTED_VALUE"""),574.78)</f>
        <v>574.78</v>
      </c>
      <c r="C1015" s="5">
        <f t="shared" ca="1" si="0"/>
        <v>-1.2866210589978081E-3</v>
      </c>
    </row>
    <row r="1016" spans="1:3" ht="13" x14ac:dyDescent="0.15">
      <c r="A1016" s="3">
        <f ca="1">IFERROR(__xludf.DUMMYFUNCTION("""COMPUTED_VALUE"""),41912.6666666666)</f>
        <v>41912.666666666599</v>
      </c>
      <c r="B1016" s="4">
        <f ca="1">IFERROR(__xludf.DUMMYFUNCTION("""COMPUTED_VALUE"""),575.78)</f>
        <v>575.78</v>
      </c>
      <c r="C1016" s="5">
        <f t="shared" ca="1" si="0"/>
        <v>1.7382844037733324E-3</v>
      </c>
    </row>
    <row r="1017" spans="1:3" ht="13" x14ac:dyDescent="0.15">
      <c r="A1017" s="3">
        <f ca="1">IFERROR(__xludf.DUMMYFUNCTION("""COMPUTED_VALUE"""),41913.6666666666)</f>
        <v>41913.666666666599</v>
      </c>
      <c r="B1017" s="4">
        <f ca="1">IFERROR(__xludf.DUMMYFUNCTION("""COMPUTED_VALUE"""),566.71)</f>
        <v>566.71</v>
      </c>
      <c r="C1017" s="5">
        <f t="shared" ca="1" si="0"/>
        <v>-1.5877934251382477E-2</v>
      </c>
    </row>
    <row r="1018" spans="1:3" ht="13" x14ac:dyDescent="0.15">
      <c r="A1018" s="3">
        <f ca="1">IFERROR(__xludf.DUMMYFUNCTION("""COMPUTED_VALUE"""),41914.6666666666)</f>
        <v>41914.666666666599</v>
      </c>
      <c r="B1018" s="4">
        <f ca="1">IFERROR(__xludf.DUMMYFUNCTION("""COMPUTED_VALUE"""),568.52)</f>
        <v>568.52</v>
      </c>
      <c r="C1018" s="5">
        <f t="shared" ca="1" si="0"/>
        <v>3.1887838301043175E-3</v>
      </c>
    </row>
    <row r="1019" spans="1:3" ht="13" x14ac:dyDescent="0.15">
      <c r="A1019" s="3">
        <f ca="1">IFERROR(__xludf.DUMMYFUNCTION("""COMPUTED_VALUE"""),41915.6666666666)</f>
        <v>41915.666666666599</v>
      </c>
      <c r="B1019" s="4">
        <f ca="1">IFERROR(__xludf.DUMMYFUNCTION("""COMPUTED_VALUE"""),573.71)</f>
        <v>573.71</v>
      </c>
      <c r="C1019" s="5">
        <f t="shared" ca="1" si="0"/>
        <v>9.0875492980175554E-3</v>
      </c>
    </row>
    <row r="1020" spans="1:3" ht="13" x14ac:dyDescent="0.15">
      <c r="A1020" s="3">
        <f ca="1">IFERROR(__xludf.DUMMYFUNCTION("""COMPUTED_VALUE"""),41918.6666666666)</f>
        <v>41918.666666666599</v>
      </c>
      <c r="B1020" s="4">
        <f ca="1">IFERROR(__xludf.DUMMYFUNCTION("""COMPUTED_VALUE"""),575.77)</f>
        <v>575.77</v>
      </c>
      <c r="C1020" s="5">
        <f t="shared" ca="1" si="0"/>
        <v>3.5842332278151067E-3</v>
      </c>
    </row>
    <row r="1021" spans="1:3" ht="13" x14ac:dyDescent="0.15">
      <c r="A1021" s="3">
        <f ca="1">IFERROR(__xludf.DUMMYFUNCTION("""COMPUTED_VALUE"""),41919.6666666666)</f>
        <v>41919.666666666599</v>
      </c>
      <c r="B1021" s="4">
        <f ca="1">IFERROR(__xludf.DUMMYFUNCTION("""COMPUTED_VALUE"""),562.2)</f>
        <v>562.20000000000005</v>
      </c>
      <c r="C1021" s="5">
        <f t="shared" ca="1" si="0"/>
        <v>-2.3850616924211997E-2</v>
      </c>
    </row>
    <row r="1022" spans="1:3" ht="13" x14ac:dyDescent="0.15">
      <c r="A1022" s="3">
        <f ca="1">IFERROR(__xludf.DUMMYFUNCTION("""COMPUTED_VALUE"""),41920.6666666666)</f>
        <v>41920.666666666599</v>
      </c>
      <c r="B1022" s="4">
        <f ca="1">IFERROR(__xludf.DUMMYFUNCTION("""COMPUTED_VALUE"""),570.93)</f>
        <v>570.92999999999995</v>
      </c>
      <c r="C1022" s="5">
        <f t="shared" ca="1" si="0"/>
        <v>1.5408951724614041E-2</v>
      </c>
    </row>
    <row r="1023" spans="1:3" ht="13" x14ac:dyDescent="0.15">
      <c r="A1023" s="3">
        <f ca="1">IFERROR(__xludf.DUMMYFUNCTION("""COMPUTED_VALUE"""),41921.6666666666)</f>
        <v>41921.666666666599</v>
      </c>
      <c r="B1023" s="4">
        <f ca="1">IFERROR(__xludf.DUMMYFUNCTION("""COMPUTED_VALUE"""),559.34)</f>
        <v>559.34</v>
      </c>
      <c r="C1023" s="5">
        <f t="shared" ca="1" si="0"/>
        <v>-2.0509092957901567E-2</v>
      </c>
    </row>
    <row r="1024" spans="1:3" ht="13" x14ac:dyDescent="0.15">
      <c r="A1024" s="3">
        <f ca="1">IFERROR(__xludf.DUMMYFUNCTION("""COMPUTED_VALUE"""),41922.6666666666)</f>
        <v>41922.666666666599</v>
      </c>
      <c r="B1024" s="4">
        <f ca="1">IFERROR(__xludf.DUMMYFUNCTION("""COMPUTED_VALUE"""),543)</f>
        <v>543</v>
      </c>
      <c r="C1024" s="5">
        <f t="shared" ca="1" si="0"/>
        <v>-2.9648197305208606E-2</v>
      </c>
    </row>
    <row r="1025" spans="1:3" ht="13" x14ac:dyDescent="0.15">
      <c r="A1025" s="3">
        <f ca="1">IFERROR(__xludf.DUMMYFUNCTION("""COMPUTED_VALUE"""),41925.6666666666)</f>
        <v>41925.666666666599</v>
      </c>
      <c r="B1025" s="4">
        <f ca="1">IFERROR(__xludf.DUMMYFUNCTION("""COMPUTED_VALUE"""),531.75)</f>
        <v>531.75</v>
      </c>
      <c r="C1025" s="5">
        <f t="shared" ca="1" si="0"/>
        <v>-2.093586585358884E-2</v>
      </c>
    </row>
    <row r="1026" spans="1:3" ht="13" x14ac:dyDescent="0.15">
      <c r="A1026" s="3">
        <f ca="1">IFERROR(__xludf.DUMMYFUNCTION("""COMPUTED_VALUE"""),41926.6666666666)</f>
        <v>41926.666666666599</v>
      </c>
      <c r="B1026" s="4">
        <f ca="1">IFERROR(__xludf.DUMMYFUNCTION("""COMPUTED_VALUE"""),536.47)</f>
        <v>536.47</v>
      </c>
      <c r="C1026" s="5">
        <f t="shared" ca="1" si="0"/>
        <v>8.8371884399851552E-3</v>
      </c>
    </row>
    <row r="1027" spans="1:3" ht="13" x14ac:dyDescent="0.15">
      <c r="A1027" s="3">
        <f ca="1">IFERROR(__xludf.DUMMYFUNCTION("""COMPUTED_VALUE"""),41927.6666666666)</f>
        <v>41927.666666666599</v>
      </c>
      <c r="B1027" s="4">
        <f ca="1">IFERROR(__xludf.DUMMYFUNCTION("""COMPUTED_VALUE"""),528.58)</f>
        <v>528.58000000000004</v>
      </c>
      <c r="C1027" s="5">
        <f t="shared" ca="1" si="0"/>
        <v>-1.4816476858594411E-2</v>
      </c>
    </row>
    <row r="1028" spans="1:3" ht="13" x14ac:dyDescent="0.15">
      <c r="A1028" s="3">
        <f ca="1">IFERROR(__xludf.DUMMYFUNCTION("""COMPUTED_VALUE"""),41928.6666666666)</f>
        <v>41928.666666666599</v>
      </c>
      <c r="B1028" s="4">
        <f ca="1">IFERROR(__xludf.DUMMYFUNCTION("""COMPUTED_VALUE"""),523.07)</f>
        <v>523.07000000000005</v>
      </c>
      <c r="C1028" s="5">
        <f t="shared" ca="1" si="0"/>
        <v>-1.0478867340780875E-2</v>
      </c>
    </row>
    <row r="1029" spans="1:3" ht="13" x14ac:dyDescent="0.15">
      <c r="A1029" s="3">
        <f ca="1">IFERROR(__xludf.DUMMYFUNCTION("""COMPUTED_VALUE"""),41929.6666666666)</f>
        <v>41929.666666666599</v>
      </c>
      <c r="B1029" s="4">
        <f ca="1">IFERROR(__xludf.DUMMYFUNCTION("""COMPUTED_VALUE"""),509.77)</f>
        <v>509.77</v>
      </c>
      <c r="C1029" s="5">
        <f t="shared" ca="1" si="0"/>
        <v>-2.575565471698325E-2</v>
      </c>
    </row>
    <row r="1030" spans="1:3" ht="13" x14ac:dyDescent="0.15">
      <c r="A1030" s="3">
        <f ca="1">IFERROR(__xludf.DUMMYFUNCTION("""COMPUTED_VALUE"""),41932.6666666666)</f>
        <v>41932.666666666599</v>
      </c>
      <c r="B1030" s="4">
        <f ca="1">IFERROR(__xludf.DUMMYFUNCTION("""COMPUTED_VALUE"""),519.41)</f>
        <v>519.41</v>
      </c>
      <c r="C1030" s="5">
        <f t="shared" ca="1" si="0"/>
        <v>1.8733908423551139E-2</v>
      </c>
    </row>
    <row r="1031" spans="1:3" ht="13" x14ac:dyDescent="0.15">
      <c r="A1031" s="3">
        <f ca="1">IFERROR(__xludf.DUMMYFUNCTION("""COMPUTED_VALUE"""),41933.6666666666)</f>
        <v>41933.666666666599</v>
      </c>
      <c r="B1031" s="4">
        <f ca="1">IFERROR(__xludf.DUMMYFUNCTION("""COMPUTED_VALUE"""),525.1)</f>
        <v>525.1</v>
      </c>
      <c r="C1031" s="5">
        <f t="shared" ca="1" si="0"/>
        <v>1.0895168616289495E-2</v>
      </c>
    </row>
    <row r="1032" spans="1:3" ht="13" x14ac:dyDescent="0.15">
      <c r="A1032" s="3">
        <f ca="1">IFERROR(__xludf.DUMMYFUNCTION("""COMPUTED_VALUE"""),41934.6666666666)</f>
        <v>41934.666666666599</v>
      </c>
      <c r="B1032" s="4">
        <f ca="1">IFERROR(__xludf.DUMMYFUNCTION("""COMPUTED_VALUE"""),531.25)</f>
        <v>531.25</v>
      </c>
      <c r="C1032" s="5">
        <f t="shared" ca="1" si="0"/>
        <v>1.1643999594812909E-2</v>
      </c>
    </row>
    <row r="1033" spans="1:3" ht="13" x14ac:dyDescent="0.15">
      <c r="A1033" s="3">
        <f ca="1">IFERROR(__xludf.DUMMYFUNCTION("""COMPUTED_VALUE"""),41935.6666666666)</f>
        <v>41935.666666666599</v>
      </c>
      <c r="B1033" s="4">
        <f ca="1">IFERROR(__xludf.DUMMYFUNCTION("""COMPUTED_VALUE"""),542.49)</f>
        <v>542.49</v>
      </c>
      <c r="C1033" s="5">
        <f t="shared" ca="1" si="0"/>
        <v>2.0936931826371359E-2</v>
      </c>
    </row>
    <row r="1034" spans="1:3" ht="13" x14ac:dyDescent="0.15">
      <c r="A1034" s="3">
        <f ca="1">IFERROR(__xludf.DUMMYFUNCTION("""COMPUTED_VALUE"""),41936.6666666666)</f>
        <v>41936.666666666599</v>
      </c>
      <c r="B1034" s="4">
        <f ca="1">IFERROR(__xludf.DUMMYFUNCTION("""COMPUTED_VALUE"""),538.3)</f>
        <v>538.29999999999995</v>
      </c>
      <c r="C1034" s="5">
        <f t="shared" ca="1" si="0"/>
        <v>-7.7536264980865213E-3</v>
      </c>
    </row>
    <row r="1035" spans="1:3" ht="13" x14ac:dyDescent="0.15">
      <c r="A1035" s="3">
        <f ca="1">IFERROR(__xludf.DUMMYFUNCTION("""COMPUTED_VALUE"""),41939.6666666666)</f>
        <v>41939.666666666599</v>
      </c>
      <c r="B1035" s="4">
        <f ca="1">IFERROR(__xludf.DUMMYFUNCTION("""COMPUTED_VALUE"""),539.29)</f>
        <v>539.29</v>
      </c>
      <c r="C1035" s="5">
        <f t="shared" ca="1" si="0"/>
        <v>1.8374340491902864E-3</v>
      </c>
    </row>
    <row r="1036" spans="1:3" ht="13" x14ac:dyDescent="0.15">
      <c r="A1036" s="3">
        <f ca="1">IFERROR(__xludf.DUMMYFUNCTION("""COMPUTED_VALUE"""),41940.6666666666)</f>
        <v>41940.666666666599</v>
      </c>
      <c r="B1036" s="4">
        <f ca="1">IFERROR(__xludf.DUMMYFUNCTION("""COMPUTED_VALUE"""),547.4)</f>
        <v>547.4</v>
      </c>
      <c r="C1036" s="5">
        <f t="shared" ca="1" si="0"/>
        <v>1.4926336990476723E-2</v>
      </c>
    </row>
    <row r="1037" spans="1:3" ht="13" x14ac:dyDescent="0.15">
      <c r="A1037" s="3">
        <f ca="1">IFERROR(__xludf.DUMMYFUNCTION("""COMPUTED_VALUE"""),41941.6666666666)</f>
        <v>41941.666666666599</v>
      </c>
      <c r="B1037" s="4">
        <f ca="1">IFERROR(__xludf.DUMMYFUNCTION("""COMPUTED_VALUE"""),547.83)</f>
        <v>547.83000000000004</v>
      </c>
      <c r="C1037" s="5">
        <f t="shared" ca="1" si="0"/>
        <v>7.8522323547383156E-4</v>
      </c>
    </row>
    <row r="1038" spans="1:3" ht="13" x14ac:dyDescent="0.15">
      <c r="A1038" s="3">
        <f ca="1">IFERROR(__xludf.DUMMYFUNCTION("""COMPUTED_VALUE"""),41942.6666666666)</f>
        <v>41942.666666666599</v>
      </c>
      <c r="B1038" s="4">
        <f ca="1">IFERROR(__xludf.DUMMYFUNCTION("""COMPUTED_VALUE"""),548.8)</f>
        <v>548.79999999999995</v>
      </c>
      <c r="C1038" s="5">
        <f t="shared" ca="1" si="0"/>
        <v>1.7690565696229631E-3</v>
      </c>
    </row>
    <row r="1039" spans="1:3" ht="13" x14ac:dyDescent="0.15">
      <c r="A1039" s="3">
        <f ca="1">IFERROR(__xludf.DUMMYFUNCTION("""COMPUTED_VALUE"""),41943.6666666666)</f>
        <v>41943.666666666599</v>
      </c>
      <c r="B1039" s="4">
        <f ca="1">IFERROR(__xludf.DUMMYFUNCTION("""COMPUTED_VALUE"""),557.55)</f>
        <v>557.54999999999995</v>
      </c>
      <c r="C1039" s="5">
        <f t="shared" ca="1" si="0"/>
        <v>1.5818108999695296E-2</v>
      </c>
    </row>
    <row r="1040" spans="1:3" ht="13" x14ac:dyDescent="0.15">
      <c r="A1040" s="3">
        <f ca="1">IFERROR(__xludf.DUMMYFUNCTION("""COMPUTED_VALUE"""),41946.6666666666)</f>
        <v>41946.666666666599</v>
      </c>
      <c r="B1040" s="4">
        <f ca="1">IFERROR(__xludf.DUMMYFUNCTION("""COMPUTED_VALUE"""),553.7)</f>
        <v>553.70000000000005</v>
      </c>
      <c r="C1040" s="5">
        <f t="shared" ca="1" si="0"/>
        <v>-6.929161582449191E-3</v>
      </c>
    </row>
    <row r="1041" spans="1:3" ht="13" x14ac:dyDescent="0.15">
      <c r="A1041" s="3">
        <f ca="1">IFERROR(__xludf.DUMMYFUNCTION("""COMPUTED_VALUE"""),41947.6666666666)</f>
        <v>41947.666666666599</v>
      </c>
      <c r="B1041" s="4">
        <f ca="1">IFERROR(__xludf.DUMMYFUNCTION("""COMPUTED_VALUE"""),552.59)</f>
        <v>552.59</v>
      </c>
      <c r="C1041" s="5">
        <f t="shared" ca="1" si="0"/>
        <v>-2.006707775512798E-3</v>
      </c>
    </row>
    <row r="1042" spans="1:3" ht="13" x14ac:dyDescent="0.15">
      <c r="A1042" s="3">
        <f ca="1">IFERROR(__xludf.DUMMYFUNCTION("""COMPUTED_VALUE"""),41948.6666666666)</f>
        <v>41948.666666666599</v>
      </c>
      <c r="B1042" s="4">
        <f ca="1">IFERROR(__xludf.DUMMYFUNCTION("""COMPUTED_VALUE"""),544.43)</f>
        <v>544.42999999999995</v>
      </c>
      <c r="C1042" s="5">
        <f t="shared" ca="1" si="0"/>
        <v>-1.4876940255098043E-2</v>
      </c>
    </row>
    <row r="1043" spans="1:3" ht="13" x14ac:dyDescent="0.15">
      <c r="A1043" s="3">
        <f ca="1">IFERROR(__xludf.DUMMYFUNCTION("""COMPUTED_VALUE"""),41949.6666666666)</f>
        <v>41949.666666666599</v>
      </c>
      <c r="B1043" s="4">
        <f ca="1">IFERROR(__xludf.DUMMYFUNCTION("""COMPUTED_VALUE"""),540.56)</f>
        <v>540.55999999999995</v>
      </c>
      <c r="C1043" s="5">
        <f t="shared" ca="1" si="0"/>
        <v>-7.1337365543916237E-3</v>
      </c>
    </row>
    <row r="1044" spans="1:3" ht="13" x14ac:dyDescent="0.15">
      <c r="A1044" s="3">
        <f ca="1">IFERROR(__xludf.DUMMYFUNCTION("""COMPUTED_VALUE"""),41950.6666666666)</f>
        <v>41950.666666666599</v>
      </c>
      <c r="B1044" s="4">
        <f ca="1">IFERROR(__xludf.DUMMYFUNCTION("""COMPUTED_VALUE"""),539.53)</f>
        <v>539.53</v>
      </c>
      <c r="C1044" s="5">
        <f t="shared" ca="1" si="0"/>
        <v>-1.9072490481852622E-3</v>
      </c>
    </row>
    <row r="1045" spans="1:3" ht="13" x14ac:dyDescent="0.15">
      <c r="A1045" s="3">
        <f ca="1">IFERROR(__xludf.DUMMYFUNCTION("""COMPUTED_VALUE"""),41953.6666666666)</f>
        <v>41953.666666666599</v>
      </c>
      <c r="B1045" s="4">
        <f ca="1">IFERROR(__xludf.DUMMYFUNCTION("""COMPUTED_VALUE"""),545.99)</f>
        <v>545.99</v>
      </c>
      <c r="C1045" s="5">
        <f t="shared" ca="1" si="0"/>
        <v>1.1902270363134175E-2</v>
      </c>
    </row>
    <row r="1046" spans="1:3" ht="13" x14ac:dyDescent="0.15">
      <c r="A1046" s="3">
        <f ca="1">IFERROR(__xludf.DUMMYFUNCTION("""COMPUTED_VALUE"""),41954.6666666666)</f>
        <v>41954.666666666599</v>
      </c>
      <c r="B1046" s="4">
        <f ca="1">IFERROR(__xludf.DUMMYFUNCTION("""COMPUTED_VALUE"""),548.78)</f>
        <v>548.78</v>
      </c>
      <c r="C1046" s="5">
        <f t="shared" ca="1" si="0"/>
        <v>5.0969720400516946E-3</v>
      </c>
    </row>
    <row r="1047" spans="1:3" ht="13" x14ac:dyDescent="0.15">
      <c r="A1047" s="3">
        <f ca="1">IFERROR(__xludf.DUMMYFUNCTION("""COMPUTED_VALUE"""),41955.6666666666)</f>
        <v>41955.666666666599</v>
      </c>
      <c r="B1047" s="4">
        <f ca="1">IFERROR(__xludf.DUMMYFUNCTION("""COMPUTED_VALUE"""),545.81)</f>
        <v>545.80999999999995</v>
      </c>
      <c r="C1047" s="5">
        <f t="shared" ca="1" si="0"/>
        <v>-5.4267027629512164E-3</v>
      </c>
    </row>
    <row r="1048" spans="1:3" ht="13" x14ac:dyDescent="0.15">
      <c r="A1048" s="3">
        <f ca="1">IFERROR(__xludf.DUMMYFUNCTION("""COMPUTED_VALUE"""),41956.6666666666)</f>
        <v>41956.666666666599</v>
      </c>
      <c r="B1048" s="4">
        <f ca="1">IFERROR(__xludf.DUMMYFUNCTION("""COMPUTED_VALUE"""),543.89)</f>
        <v>543.89</v>
      </c>
      <c r="C1048" s="5">
        <f t="shared" ca="1" si="0"/>
        <v>-3.5239093087444584E-3</v>
      </c>
    </row>
    <row r="1049" spans="1:3" ht="13" x14ac:dyDescent="0.15">
      <c r="A1049" s="3">
        <f ca="1">IFERROR(__xludf.DUMMYFUNCTION("""COMPUTED_VALUE"""),41957.6666666666)</f>
        <v>41957.666666666599</v>
      </c>
      <c r="B1049" s="4">
        <f ca="1">IFERROR(__xludf.DUMMYFUNCTION("""COMPUTED_VALUE"""),542.91)</f>
        <v>542.91</v>
      </c>
      <c r="C1049" s="5">
        <f t="shared" ca="1" si="0"/>
        <v>-1.8034601870045774E-3</v>
      </c>
    </row>
    <row r="1050" spans="1:3" ht="13" x14ac:dyDescent="0.15">
      <c r="A1050" s="3">
        <f ca="1">IFERROR(__xludf.DUMMYFUNCTION("""COMPUTED_VALUE"""),41960.6666666666)</f>
        <v>41960.666666666599</v>
      </c>
      <c r="B1050" s="4">
        <f ca="1">IFERROR(__xludf.DUMMYFUNCTION("""COMPUTED_VALUE"""),535.04)</f>
        <v>535.04</v>
      </c>
      <c r="C1050" s="5">
        <f t="shared" ca="1" si="0"/>
        <v>-1.4602049883937287E-2</v>
      </c>
    </row>
    <row r="1051" spans="1:3" ht="13" x14ac:dyDescent="0.15">
      <c r="A1051" s="3">
        <f ca="1">IFERROR(__xludf.DUMMYFUNCTION("""COMPUTED_VALUE"""),41961.6666666666)</f>
        <v>41961.666666666599</v>
      </c>
      <c r="B1051" s="4">
        <f ca="1">IFERROR(__xludf.DUMMYFUNCTION("""COMPUTED_VALUE"""),533.57)</f>
        <v>533.57000000000005</v>
      </c>
      <c r="C1051" s="5">
        <f t="shared" ca="1" si="0"/>
        <v>-2.7512393244331214E-3</v>
      </c>
    </row>
    <row r="1052" spans="1:3" ht="13" x14ac:dyDescent="0.15">
      <c r="A1052" s="3">
        <f ca="1">IFERROR(__xludf.DUMMYFUNCTION("""COMPUTED_VALUE"""),41962.6666666666)</f>
        <v>41962.666666666599</v>
      </c>
      <c r="B1052" s="4">
        <f ca="1">IFERROR(__xludf.DUMMYFUNCTION("""COMPUTED_VALUE"""),535.52)</f>
        <v>535.52</v>
      </c>
      <c r="C1052" s="5">
        <f t="shared" ca="1" si="0"/>
        <v>3.647966331167428E-3</v>
      </c>
    </row>
    <row r="1053" spans="1:3" ht="13" x14ac:dyDescent="0.15">
      <c r="A1053" s="3">
        <f ca="1">IFERROR(__xludf.DUMMYFUNCTION("""COMPUTED_VALUE"""),41963.6666666666)</f>
        <v>41963.666666666599</v>
      </c>
      <c r="B1053" s="4">
        <f ca="1">IFERROR(__xludf.DUMMYFUNCTION("""COMPUTED_VALUE"""),533.37)</f>
        <v>533.37</v>
      </c>
      <c r="C1053" s="5">
        <f t="shared" ca="1" si="0"/>
        <v>-4.0228702664264065E-3</v>
      </c>
    </row>
    <row r="1054" spans="1:3" ht="13" x14ac:dyDescent="0.15">
      <c r="A1054" s="3">
        <f ca="1">IFERROR(__xludf.DUMMYFUNCTION("""COMPUTED_VALUE"""),41964.6666666666)</f>
        <v>41964.666666666599</v>
      </c>
      <c r="B1054" s="4">
        <f ca="1">IFERROR(__xludf.DUMMYFUNCTION("""COMPUTED_VALUE"""),536.03)</f>
        <v>536.03</v>
      </c>
      <c r="C1054" s="5">
        <f t="shared" ca="1" si="0"/>
        <v>4.9747624571952241E-3</v>
      </c>
    </row>
    <row r="1055" spans="1:3" ht="13" x14ac:dyDescent="0.15">
      <c r="A1055" s="3">
        <f ca="1">IFERROR(__xludf.DUMMYFUNCTION("""COMPUTED_VALUE"""),41967.6666666666)</f>
        <v>41967.666666666599</v>
      </c>
      <c r="B1055" s="4">
        <f ca="1">IFERROR(__xludf.DUMMYFUNCTION("""COMPUTED_VALUE"""),537.79)</f>
        <v>537.79</v>
      </c>
      <c r="C1055" s="5">
        <f t="shared" ca="1" si="0"/>
        <v>3.278019735139445E-3</v>
      </c>
    </row>
    <row r="1056" spans="1:3" ht="13" x14ac:dyDescent="0.15">
      <c r="A1056" s="3">
        <f ca="1">IFERROR(__xludf.DUMMYFUNCTION("""COMPUTED_VALUE"""),41968.6666666666)</f>
        <v>41968.666666666599</v>
      </c>
      <c r="B1056" s="4">
        <f ca="1">IFERROR(__xludf.DUMMYFUNCTION("""COMPUTED_VALUE"""),539.6)</f>
        <v>539.6</v>
      </c>
      <c r="C1056" s="5">
        <f t="shared" ca="1" si="0"/>
        <v>3.359974944676148E-3</v>
      </c>
    </row>
    <row r="1057" spans="1:3" ht="13" x14ac:dyDescent="0.15">
      <c r="A1057" s="3">
        <f ca="1">IFERROR(__xludf.DUMMYFUNCTION("""COMPUTED_VALUE"""),41969.6666666666)</f>
        <v>41969.666666666599</v>
      </c>
      <c r="B1057" s="4">
        <f ca="1">IFERROR(__xludf.DUMMYFUNCTION("""COMPUTED_VALUE"""),538.89)</f>
        <v>538.89</v>
      </c>
      <c r="C1057" s="5">
        <f t="shared" ca="1" si="0"/>
        <v>-1.3166558847468963E-3</v>
      </c>
    </row>
    <row r="1058" spans="1:3" ht="13" x14ac:dyDescent="0.15">
      <c r="A1058" s="3">
        <f ca="1">IFERROR(__xludf.DUMMYFUNCTION("""COMPUTED_VALUE"""),41971.6666666666)</f>
        <v>41971.666666666599</v>
      </c>
      <c r="B1058" s="4">
        <f ca="1">IFERROR(__xludf.DUMMYFUNCTION("""COMPUTED_VALUE"""),540.35)</f>
        <v>540.35</v>
      </c>
      <c r="C1058" s="5">
        <f t="shared" ca="1" si="0"/>
        <v>2.7056093003206376E-3</v>
      </c>
    </row>
    <row r="1059" spans="1:3" ht="13" x14ac:dyDescent="0.15">
      <c r="A1059" s="3">
        <f ca="1">IFERROR(__xludf.DUMMYFUNCTION("""COMPUTED_VALUE"""),41974.6666666666)</f>
        <v>41974.666666666599</v>
      </c>
      <c r="B1059" s="4">
        <f ca="1">IFERROR(__xludf.DUMMYFUNCTION("""COMPUTED_VALUE"""),532.34)</f>
        <v>532.34</v>
      </c>
      <c r="C1059" s="5">
        <f t="shared" ca="1" si="0"/>
        <v>-1.4934694799162183E-2</v>
      </c>
    </row>
    <row r="1060" spans="1:3" ht="13" x14ac:dyDescent="0.15">
      <c r="A1060" s="3">
        <f ca="1">IFERROR(__xludf.DUMMYFUNCTION("""COMPUTED_VALUE"""),41975.6666666666)</f>
        <v>41975.666666666599</v>
      </c>
      <c r="B1060" s="4">
        <f ca="1">IFERROR(__xludf.DUMMYFUNCTION("""COMPUTED_VALUE"""),532.29)</f>
        <v>532.29</v>
      </c>
      <c r="C1060" s="5">
        <f t="shared" ca="1" si="0"/>
        <v>-9.3929346414834821E-5</v>
      </c>
    </row>
    <row r="1061" spans="1:3" ht="13" x14ac:dyDescent="0.15">
      <c r="A1061" s="3">
        <f ca="1">IFERROR(__xludf.DUMMYFUNCTION("""COMPUTED_VALUE"""),41976.6666666666)</f>
        <v>41976.666666666599</v>
      </c>
      <c r="B1061" s="4">
        <f ca="1">IFERROR(__xludf.DUMMYFUNCTION("""COMPUTED_VALUE"""),529.87)</f>
        <v>529.87</v>
      </c>
      <c r="C1061" s="5">
        <f t="shared" ca="1" si="0"/>
        <v>-4.5567601630976499E-3</v>
      </c>
    </row>
    <row r="1062" spans="1:3" ht="13" x14ac:dyDescent="0.15">
      <c r="A1062" s="3">
        <f ca="1">IFERROR(__xludf.DUMMYFUNCTION("""COMPUTED_VALUE"""),41977.6666666666)</f>
        <v>41977.666666666599</v>
      </c>
      <c r="B1062" s="4">
        <f ca="1">IFERROR(__xludf.DUMMYFUNCTION("""COMPUTED_VALUE"""),535.84)</f>
        <v>535.84</v>
      </c>
      <c r="C1062" s="5">
        <f t="shared" ca="1" si="0"/>
        <v>1.120391560539449E-2</v>
      </c>
    </row>
    <row r="1063" spans="1:3" ht="13" x14ac:dyDescent="0.15">
      <c r="A1063" s="3">
        <f ca="1">IFERROR(__xludf.DUMMYFUNCTION("""COMPUTED_VALUE"""),41978.6666666666)</f>
        <v>41978.666666666599</v>
      </c>
      <c r="B1063" s="4">
        <f ca="1">IFERROR(__xludf.DUMMYFUNCTION("""COMPUTED_VALUE"""),523.82)</f>
        <v>523.82000000000005</v>
      </c>
      <c r="C1063" s="5">
        <f t="shared" ca="1" si="0"/>
        <v>-2.2687495188807132E-2</v>
      </c>
    </row>
    <row r="1064" spans="1:3" ht="13" x14ac:dyDescent="0.15">
      <c r="A1064" s="3">
        <f ca="1">IFERROR(__xludf.DUMMYFUNCTION("""COMPUTED_VALUE"""),41981.6666666666)</f>
        <v>41981.666666666599</v>
      </c>
      <c r="B1064" s="4">
        <f ca="1">IFERROR(__xludf.DUMMYFUNCTION("""COMPUTED_VALUE"""),525.54)</f>
        <v>525.54</v>
      </c>
      <c r="C1064" s="5">
        <f t="shared" ca="1" si="0"/>
        <v>3.2781915459651192E-3</v>
      </c>
    </row>
    <row r="1065" spans="1:3" ht="13" x14ac:dyDescent="0.15">
      <c r="A1065" s="3">
        <f ca="1">IFERROR(__xludf.DUMMYFUNCTION("""COMPUTED_VALUE"""),41982.6666666666)</f>
        <v>41982.666666666599</v>
      </c>
      <c r="B1065" s="4">
        <f ca="1">IFERROR(__xludf.DUMMYFUNCTION("""COMPUTED_VALUE"""),531.91)</f>
        <v>531.91</v>
      </c>
      <c r="C1065" s="5">
        <f t="shared" ca="1" si="0"/>
        <v>1.2047996694906273E-2</v>
      </c>
    </row>
    <row r="1066" spans="1:3" ht="13" x14ac:dyDescent="0.15">
      <c r="A1066" s="3">
        <f ca="1">IFERROR(__xludf.DUMMYFUNCTION("""COMPUTED_VALUE"""),41983.6666666666)</f>
        <v>41983.666666666599</v>
      </c>
      <c r="B1066" s="4">
        <f ca="1">IFERROR(__xludf.DUMMYFUNCTION("""COMPUTED_VALUE"""),524.62)</f>
        <v>524.62</v>
      </c>
      <c r="C1066" s="5">
        <f t="shared" ca="1" si="0"/>
        <v>-1.3800111106728066E-2</v>
      </c>
    </row>
    <row r="1067" spans="1:3" ht="13" x14ac:dyDescent="0.15">
      <c r="A1067" s="3">
        <f ca="1">IFERROR(__xludf.DUMMYFUNCTION("""COMPUTED_VALUE"""),41984.6666666666)</f>
        <v>41984.666666666599</v>
      </c>
      <c r="B1067" s="4">
        <f ca="1">IFERROR(__xludf.DUMMYFUNCTION("""COMPUTED_VALUE"""),526.89)</f>
        <v>526.89</v>
      </c>
      <c r="C1067" s="5">
        <f t="shared" ca="1" si="0"/>
        <v>4.3176071105230944E-3</v>
      </c>
    </row>
    <row r="1068" spans="1:3" ht="13" x14ac:dyDescent="0.15">
      <c r="A1068" s="3">
        <f ca="1">IFERROR(__xludf.DUMMYFUNCTION("""COMPUTED_VALUE"""),41985.6666666666)</f>
        <v>41985.666666666599</v>
      </c>
      <c r="B1068" s="4">
        <f ca="1">IFERROR(__xludf.DUMMYFUNCTION("""COMPUTED_VALUE"""),517.24)</f>
        <v>517.24</v>
      </c>
      <c r="C1068" s="5">
        <f t="shared" ca="1" si="0"/>
        <v>-1.8484814674102987E-2</v>
      </c>
    </row>
    <row r="1069" spans="1:3" ht="13" x14ac:dyDescent="0.15">
      <c r="A1069" s="3">
        <f ca="1">IFERROR(__xludf.DUMMYFUNCTION("""COMPUTED_VALUE"""),41988.6666666666)</f>
        <v>41988.666666666599</v>
      </c>
      <c r="B1069" s="4">
        <f ca="1">IFERROR(__xludf.DUMMYFUNCTION("""COMPUTED_VALUE"""),512.39)</f>
        <v>512.39</v>
      </c>
      <c r="C1069" s="5">
        <f t="shared" ca="1" si="0"/>
        <v>-9.4209295986339477E-3</v>
      </c>
    </row>
    <row r="1070" spans="1:3" ht="13" x14ac:dyDescent="0.15">
      <c r="A1070" s="3">
        <f ca="1">IFERROR(__xludf.DUMMYFUNCTION("""COMPUTED_VALUE"""),41989.6666666666)</f>
        <v>41989.666666666599</v>
      </c>
      <c r="B1070" s="4">
        <f ca="1">IFERROR(__xludf.DUMMYFUNCTION("""COMPUTED_VALUE"""),494.03)</f>
        <v>494.03</v>
      </c>
      <c r="C1070" s="5">
        <f t="shared" ca="1" si="0"/>
        <v>-3.6489809740070767E-2</v>
      </c>
    </row>
    <row r="1071" spans="1:3" ht="13" x14ac:dyDescent="0.15">
      <c r="A1071" s="3">
        <f ca="1">IFERROR(__xludf.DUMMYFUNCTION("""COMPUTED_VALUE"""),41990.6666666666)</f>
        <v>41990.666666666599</v>
      </c>
      <c r="B1071" s="4">
        <f ca="1">IFERROR(__xludf.DUMMYFUNCTION("""COMPUTED_VALUE"""),503.51)</f>
        <v>503.51</v>
      </c>
      <c r="C1071" s="5">
        <f t="shared" ca="1" si="0"/>
        <v>1.9007328845632093E-2</v>
      </c>
    </row>
    <row r="1072" spans="1:3" ht="13" x14ac:dyDescent="0.15">
      <c r="A1072" s="3">
        <f ca="1">IFERROR(__xludf.DUMMYFUNCTION("""COMPUTED_VALUE"""),41991.6666666666)</f>
        <v>41991.666666666599</v>
      </c>
      <c r="B1072" s="4">
        <f ca="1">IFERROR(__xludf.DUMMYFUNCTION("""COMPUTED_VALUE"""),509.7)</f>
        <v>509.7</v>
      </c>
      <c r="C1072" s="5">
        <f t="shared" ca="1" si="0"/>
        <v>1.221874441141778E-2</v>
      </c>
    </row>
    <row r="1073" spans="1:3" ht="13" x14ac:dyDescent="0.15">
      <c r="A1073" s="3">
        <f ca="1">IFERROR(__xludf.DUMMYFUNCTION("""COMPUTED_VALUE"""),41992.6666666666)</f>
        <v>41992.666666666599</v>
      </c>
      <c r="B1073" s="4">
        <f ca="1">IFERROR(__xludf.DUMMYFUNCTION("""COMPUTED_VALUE"""),514.94)</f>
        <v>514.94000000000005</v>
      </c>
      <c r="C1073" s="5">
        <f t="shared" ca="1" si="0"/>
        <v>1.0228071676153498E-2</v>
      </c>
    </row>
    <row r="1074" spans="1:3" ht="13" x14ac:dyDescent="0.15">
      <c r="A1074" s="3">
        <f ca="1">IFERROR(__xludf.DUMMYFUNCTION("""COMPUTED_VALUE"""),41995.6666666666)</f>
        <v>41995.666666666599</v>
      </c>
      <c r="B1074" s="4">
        <f ca="1">IFERROR(__xludf.DUMMYFUNCTION("""COMPUTED_VALUE"""),523.43)</f>
        <v>523.42999999999995</v>
      </c>
      <c r="C1074" s="5">
        <f t="shared" ca="1" si="0"/>
        <v>1.6352916970475275E-2</v>
      </c>
    </row>
    <row r="1075" spans="1:3" ht="13" x14ac:dyDescent="0.15">
      <c r="A1075" s="3">
        <f ca="1">IFERROR(__xludf.DUMMYFUNCTION("""COMPUTED_VALUE"""),41996.6666666666)</f>
        <v>41996.666666666599</v>
      </c>
      <c r="B1075" s="4">
        <f ca="1">IFERROR(__xludf.DUMMYFUNCTION("""COMPUTED_VALUE"""),529.14)</f>
        <v>529.14</v>
      </c>
      <c r="C1075" s="5">
        <f t="shared" ca="1" si="0"/>
        <v>1.0849741135519503E-2</v>
      </c>
    </row>
    <row r="1076" spans="1:3" ht="13" x14ac:dyDescent="0.15">
      <c r="A1076" s="3">
        <f ca="1">IFERROR(__xludf.DUMMYFUNCTION("""COMPUTED_VALUE"""),41997.6666666666)</f>
        <v>41997.666666666599</v>
      </c>
      <c r="B1076" s="4">
        <f ca="1">IFERROR(__xludf.DUMMYFUNCTION("""COMPUTED_VALUE"""),527.32)</f>
        <v>527.32000000000005</v>
      </c>
      <c r="C1076" s="5">
        <f t="shared" ca="1" si="0"/>
        <v>-3.4454722383750994E-3</v>
      </c>
    </row>
    <row r="1077" spans="1:3" ht="13" x14ac:dyDescent="0.15">
      <c r="A1077" s="3">
        <f ca="1">IFERROR(__xludf.DUMMYFUNCTION("""COMPUTED_VALUE"""),41999.6666666666)</f>
        <v>41999.666666666599</v>
      </c>
      <c r="B1077" s="4">
        <f ca="1">IFERROR(__xludf.DUMMYFUNCTION("""COMPUTED_VALUE"""),532.57)</f>
        <v>532.57000000000005</v>
      </c>
      <c r="C1077" s="5">
        <f t="shared" ca="1" si="0"/>
        <v>9.9067694533681774E-3</v>
      </c>
    </row>
    <row r="1078" spans="1:3" ht="13" x14ac:dyDescent="0.15">
      <c r="A1078" s="3">
        <f ca="1">IFERROR(__xludf.DUMMYFUNCTION("""COMPUTED_VALUE"""),42002.6666666666)</f>
        <v>42002.666666666599</v>
      </c>
      <c r="B1078" s="4">
        <f ca="1">IFERROR(__xludf.DUMMYFUNCTION("""COMPUTED_VALUE"""),528.88)</f>
        <v>528.88</v>
      </c>
      <c r="C1078" s="5">
        <f t="shared" ca="1" si="0"/>
        <v>-6.9527813178147562E-3</v>
      </c>
    </row>
    <row r="1079" spans="1:3" ht="13" x14ac:dyDescent="0.15">
      <c r="A1079" s="3">
        <f ca="1">IFERROR(__xludf.DUMMYFUNCTION("""COMPUTED_VALUE"""),42003.6666666666)</f>
        <v>42003.666666666599</v>
      </c>
      <c r="B1079" s="4">
        <f ca="1">IFERROR(__xludf.DUMMYFUNCTION("""COMPUTED_VALUE"""),528.97)</f>
        <v>528.97</v>
      </c>
      <c r="C1079" s="5">
        <f t="shared" ca="1" si="0"/>
        <v>1.7015644981274806E-4</v>
      </c>
    </row>
    <row r="1080" spans="1:3" ht="13" x14ac:dyDescent="0.15">
      <c r="A1080" s="3">
        <f ca="1">IFERROR(__xludf.DUMMYFUNCTION("""COMPUTED_VALUE"""),42004.6666666666)</f>
        <v>42004.666666666599</v>
      </c>
      <c r="B1080" s="4">
        <f ca="1">IFERROR(__xludf.DUMMYFUNCTION("""COMPUTED_VALUE"""),524.96)</f>
        <v>524.96</v>
      </c>
      <c r="C1080" s="5">
        <f t="shared" ca="1" si="0"/>
        <v>-7.6096502623438488E-3</v>
      </c>
    </row>
    <row r="1081" spans="1:3" ht="13" x14ac:dyDescent="0.15">
      <c r="A1081" s="3">
        <f ca="1">IFERROR(__xludf.DUMMYFUNCTION("""COMPUTED_VALUE"""),42006.6666666666)</f>
        <v>42006.666666666599</v>
      </c>
      <c r="B1081" s="4">
        <f ca="1">IFERROR(__xludf.DUMMYFUNCTION("""COMPUTED_VALUE"""),523.37)</f>
        <v>523.37</v>
      </c>
      <c r="C1081" s="5">
        <f t="shared" ca="1" si="0"/>
        <v>-3.0333982986260194E-3</v>
      </c>
    </row>
    <row r="1082" spans="1:3" ht="13" x14ac:dyDescent="0.15">
      <c r="A1082" s="3">
        <f ca="1">IFERROR(__xludf.DUMMYFUNCTION("""COMPUTED_VALUE"""),42009.6666666666)</f>
        <v>42009.666666666599</v>
      </c>
      <c r="B1082" s="4">
        <f ca="1">IFERROR(__xludf.DUMMYFUNCTION("""COMPUTED_VALUE"""),512.46)</f>
        <v>512.46</v>
      </c>
      <c r="C1082" s="5">
        <f t="shared" ca="1" si="0"/>
        <v>-2.1066011728054619E-2</v>
      </c>
    </row>
    <row r="1083" spans="1:3" ht="13" x14ac:dyDescent="0.15">
      <c r="A1083" s="3">
        <f ca="1">IFERROR(__xludf.DUMMYFUNCTION("""COMPUTED_VALUE"""),42010.6666666666)</f>
        <v>42010.666666666599</v>
      </c>
      <c r="B1083" s="4">
        <f ca="1">IFERROR(__xludf.DUMMYFUNCTION("""COMPUTED_VALUE"""),500.59)</f>
        <v>500.59</v>
      </c>
      <c r="C1083" s="5">
        <f t="shared" ca="1" si="0"/>
        <v>-2.3435256416726155E-2</v>
      </c>
    </row>
    <row r="1084" spans="1:3" ht="13" x14ac:dyDescent="0.15">
      <c r="A1084" s="3">
        <f ca="1">IFERROR(__xludf.DUMMYFUNCTION("""COMPUTED_VALUE"""),42011.6666666666)</f>
        <v>42011.666666666599</v>
      </c>
      <c r="B1084" s="4">
        <f ca="1">IFERROR(__xludf.DUMMYFUNCTION("""COMPUTED_VALUE"""),499.73)</f>
        <v>499.73</v>
      </c>
      <c r="C1084" s="5">
        <f t="shared" ca="1" si="0"/>
        <v>-1.7194501997023293E-3</v>
      </c>
    </row>
    <row r="1085" spans="1:3" ht="13" x14ac:dyDescent="0.15">
      <c r="A1085" s="3">
        <f ca="1">IFERROR(__xludf.DUMMYFUNCTION("""COMPUTED_VALUE"""),42012.6666666666)</f>
        <v>42012.666666666599</v>
      </c>
      <c r="B1085" s="4">
        <f ca="1">IFERROR(__xludf.DUMMYFUNCTION("""COMPUTED_VALUE"""),501.3)</f>
        <v>501.3</v>
      </c>
      <c r="C1085" s="5">
        <f t="shared" ca="1" si="0"/>
        <v>3.1367716997751606E-3</v>
      </c>
    </row>
    <row r="1086" spans="1:3" ht="13" x14ac:dyDescent="0.15">
      <c r="A1086" s="3">
        <f ca="1">IFERROR(__xludf.DUMMYFUNCTION("""COMPUTED_VALUE"""),42013.6666666666)</f>
        <v>42013.666666666599</v>
      </c>
      <c r="B1086" s="4">
        <f ca="1">IFERROR(__xludf.DUMMYFUNCTION("""COMPUTED_VALUE"""),494.81)</f>
        <v>494.81</v>
      </c>
      <c r="C1086" s="5">
        <f t="shared" ca="1" si="0"/>
        <v>-1.3030873769414196E-2</v>
      </c>
    </row>
    <row r="1087" spans="1:3" ht="13" x14ac:dyDescent="0.15">
      <c r="A1087" s="3">
        <f ca="1">IFERROR(__xludf.DUMMYFUNCTION("""COMPUTED_VALUE"""),42016.6666666666)</f>
        <v>42016.666666666599</v>
      </c>
      <c r="B1087" s="4">
        <f ca="1">IFERROR(__xludf.DUMMYFUNCTION("""COMPUTED_VALUE"""),491.2)</f>
        <v>491.2</v>
      </c>
      <c r="C1087" s="5">
        <f t="shared" ca="1" si="0"/>
        <v>-7.3224736671108643E-3</v>
      </c>
    </row>
    <row r="1088" spans="1:3" ht="13" x14ac:dyDescent="0.15">
      <c r="A1088" s="3">
        <f ca="1">IFERROR(__xludf.DUMMYFUNCTION("""COMPUTED_VALUE"""),42017.6666666666)</f>
        <v>42017.666666666599</v>
      </c>
      <c r="B1088" s="4">
        <f ca="1">IFERROR(__xludf.DUMMYFUNCTION("""COMPUTED_VALUE"""),494.82)</f>
        <v>494.82</v>
      </c>
      <c r="C1088" s="5">
        <f t="shared" ca="1" si="0"/>
        <v>7.3426832403862942E-3</v>
      </c>
    </row>
    <row r="1089" spans="1:3" ht="13" x14ac:dyDescent="0.15">
      <c r="A1089" s="3">
        <f ca="1">IFERROR(__xludf.DUMMYFUNCTION("""COMPUTED_VALUE"""),42018.6666666666)</f>
        <v>42018.666666666599</v>
      </c>
      <c r="B1089" s="4">
        <f ca="1">IFERROR(__xludf.DUMMYFUNCTION("""COMPUTED_VALUE"""),499.5)</f>
        <v>499.5</v>
      </c>
      <c r="C1089" s="5">
        <f t="shared" ca="1" si="0"/>
        <v>9.413538015289288E-3</v>
      </c>
    </row>
    <row r="1090" spans="1:3" ht="13" x14ac:dyDescent="0.15">
      <c r="A1090" s="3">
        <f ca="1">IFERROR(__xludf.DUMMYFUNCTION("""COMPUTED_VALUE"""),42019.6666666666)</f>
        <v>42019.666666666599</v>
      </c>
      <c r="B1090" s="4">
        <f ca="1">IFERROR(__xludf.DUMMYFUNCTION("""COMPUTED_VALUE"""),500.42)</f>
        <v>500.42</v>
      </c>
      <c r="C1090" s="5">
        <f t="shared" ca="1" si="0"/>
        <v>1.8401477310270812E-3</v>
      </c>
    </row>
    <row r="1091" spans="1:3" ht="13" x14ac:dyDescent="0.15">
      <c r="A1091" s="3">
        <f ca="1">IFERROR(__xludf.DUMMYFUNCTION("""COMPUTED_VALUE"""),42020.6666666666)</f>
        <v>42020.666666666599</v>
      </c>
      <c r="B1091" s="4">
        <f ca="1">IFERROR(__xludf.DUMMYFUNCTION("""COMPUTED_VALUE"""),506.69)</f>
        <v>506.69</v>
      </c>
      <c r="C1091" s="5">
        <f t="shared" ca="1" si="0"/>
        <v>1.2451630923765975E-2</v>
      </c>
    </row>
    <row r="1092" spans="1:3" ht="13" x14ac:dyDescent="0.15">
      <c r="A1092" s="3">
        <f ca="1">IFERROR(__xludf.DUMMYFUNCTION("""COMPUTED_VALUE"""),42024.6666666666)</f>
        <v>42024.666666666599</v>
      </c>
      <c r="B1092" s="4">
        <f ca="1">IFERROR(__xludf.DUMMYFUNCTION("""COMPUTED_VALUE"""),505.51)</f>
        <v>505.51</v>
      </c>
      <c r="C1092" s="5">
        <f t="shared" ca="1" si="0"/>
        <v>-2.3315560848747273E-3</v>
      </c>
    </row>
    <row r="1093" spans="1:3" ht="13" x14ac:dyDescent="0.15">
      <c r="A1093" s="3">
        <f ca="1">IFERROR(__xludf.DUMMYFUNCTION("""COMPUTED_VALUE"""),42025.6666666666)</f>
        <v>42025.666666666599</v>
      </c>
      <c r="B1093" s="4">
        <f ca="1">IFERROR(__xludf.DUMMYFUNCTION("""COMPUTED_VALUE"""),516.62)</f>
        <v>516.62</v>
      </c>
      <c r="C1093" s="5">
        <f t="shared" ca="1" si="0"/>
        <v>2.1739773926680757E-2</v>
      </c>
    </row>
    <row r="1094" spans="1:3" ht="13" x14ac:dyDescent="0.15">
      <c r="A1094" s="3">
        <f ca="1">IFERROR(__xludf.DUMMYFUNCTION("""COMPUTED_VALUE"""),42026.6666666666)</f>
        <v>42026.666666666599</v>
      </c>
      <c r="B1094" s="4">
        <f ca="1">IFERROR(__xludf.DUMMYFUNCTION("""COMPUTED_VALUE"""),532.93)</f>
        <v>532.92999999999995</v>
      </c>
      <c r="C1094" s="5">
        <f t="shared" ca="1" si="0"/>
        <v>3.1082488873272123E-2</v>
      </c>
    </row>
    <row r="1095" spans="1:3" ht="13" x14ac:dyDescent="0.15">
      <c r="A1095" s="3">
        <f ca="1">IFERROR(__xludf.DUMMYFUNCTION("""COMPUTED_VALUE"""),42027.6666666666)</f>
        <v>42027.666666666599</v>
      </c>
      <c r="B1095" s="4">
        <f ca="1">IFERROR(__xludf.DUMMYFUNCTION("""COMPUTED_VALUE"""),538.47)</f>
        <v>538.47</v>
      </c>
      <c r="C1095" s="5">
        <f t="shared" ca="1" si="0"/>
        <v>1.0341701279680156E-2</v>
      </c>
    </row>
    <row r="1096" spans="1:3" ht="13" x14ac:dyDescent="0.15">
      <c r="A1096" s="3">
        <f ca="1">IFERROR(__xludf.DUMMYFUNCTION("""COMPUTED_VALUE"""),42030.6666666666)</f>
        <v>42030.666666666599</v>
      </c>
      <c r="B1096" s="4">
        <f ca="1">IFERROR(__xludf.DUMMYFUNCTION("""COMPUTED_VALUE"""),533.74)</f>
        <v>533.74</v>
      </c>
      <c r="C1096" s="5">
        <f t="shared" ca="1" si="0"/>
        <v>-8.8229557338323494E-3</v>
      </c>
    </row>
    <row r="1097" spans="1:3" ht="13" x14ac:dyDescent="0.15">
      <c r="A1097" s="3">
        <f ca="1">IFERROR(__xludf.DUMMYFUNCTION("""COMPUTED_VALUE"""),42031.6666666666)</f>
        <v>42031.666666666599</v>
      </c>
      <c r="B1097" s="4">
        <f ca="1">IFERROR(__xludf.DUMMYFUNCTION("""COMPUTED_VALUE"""),517.21)</f>
        <v>517.21</v>
      </c>
      <c r="C1097" s="5">
        <f t="shared" ca="1" si="0"/>
        <v>-3.1459847413417667E-2</v>
      </c>
    </row>
    <row r="1098" spans="1:3" ht="13" x14ac:dyDescent="0.15">
      <c r="A1098" s="3">
        <f ca="1">IFERROR(__xludf.DUMMYFUNCTION("""COMPUTED_VALUE"""),42032.6666666666)</f>
        <v>42032.666666666599</v>
      </c>
      <c r="B1098" s="4">
        <f ca="1">IFERROR(__xludf.DUMMYFUNCTION("""COMPUTED_VALUE"""),508.6)</f>
        <v>508.6</v>
      </c>
      <c r="C1098" s="5">
        <f t="shared" ca="1" si="0"/>
        <v>-1.678712860289058E-2</v>
      </c>
    </row>
    <row r="1099" spans="1:3" ht="13" x14ac:dyDescent="0.15">
      <c r="A1099" s="3">
        <f ca="1">IFERROR(__xludf.DUMMYFUNCTION("""COMPUTED_VALUE"""),42033.6666666666)</f>
        <v>42033.666666666599</v>
      </c>
      <c r="B1099" s="4">
        <f ca="1">IFERROR(__xludf.DUMMYFUNCTION("""COMPUTED_VALUE"""),509.26)</f>
        <v>509.26</v>
      </c>
      <c r="C1099" s="5">
        <f t="shared" ca="1" si="0"/>
        <v>1.296838646765671E-3</v>
      </c>
    </row>
    <row r="1100" spans="1:3" ht="13" x14ac:dyDescent="0.15">
      <c r="A1100" s="3">
        <f ca="1">IFERROR(__xludf.DUMMYFUNCTION("""COMPUTED_VALUE"""),42034.6666666666)</f>
        <v>42034.666666666599</v>
      </c>
      <c r="B1100" s="4">
        <f ca="1">IFERROR(__xludf.DUMMYFUNCTION("""COMPUTED_VALUE"""),533.06)</f>
        <v>533.05999999999995</v>
      </c>
      <c r="C1100" s="5">
        <f t="shared" ca="1" si="0"/>
        <v>4.5675296551965248E-2</v>
      </c>
    </row>
    <row r="1101" spans="1:3" ht="13" x14ac:dyDescent="0.15">
      <c r="A1101" s="3">
        <f ca="1">IFERROR(__xludf.DUMMYFUNCTION("""COMPUTED_VALUE"""),42037.6666666666)</f>
        <v>42037.666666666599</v>
      </c>
      <c r="B1101" s="4">
        <f ca="1">IFERROR(__xludf.DUMMYFUNCTION("""COMPUTED_VALUE"""),527.03)</f>
        <v>527.03</v>
      </c>
      <c r="C1101" s="5">
        <f t="shared" ca="1" si="0"/>
        <v>-1.1376515269405951E-2</v>
      </c>
    </row>
    <row r="1102" spans="1:3" ht="13" x14ac:dyDescent="0.15">
      <c r="A1102" s="3">
        <f ca="1">IFERROR(__xludf.DUMMYFUNCTION("""COMPUTED_VALUE"""),42038.6666666666)</f>
        <v>42038.666666666599</v>
      </c>
      <c r="B1102" s="4">
        <f ca="1">IFERROR(__xludf.DUMMYFUNCTION("""COMPUTED_VALUE"""),527.79)</f>
        <v>527.79</v>
      </c>
      <c r="C1102" s="5">
        <f t="shared" ca="1" si="0"/>
        <v>1.4410044017202004E-3</v>
      </c>
    </row>
    <row r="1103" spans="1:3" ht="13" x14ac:dyDescent="0.15">
      <c r="A1103" s="3">
        <f ca="1">IFERROR(__xludf.DUMMYFUNCTION("""COMPUTED_VALUE"""),42039.6666666666)</f>
        <v>42039.666666666599</v>
      </c>
      <c r="B1103" s="4">
        <f ca="1">IFERROR(__xludf.DUMMYFUNCTION("""COMPUTED_VALUE"""),521.33)</f>
        <v>521.33000000000004</v>
      </c>
      <c r="C1103" s="5">
        <f t="shared" ca="1" si="0"/>
        <v>-1.2315238764251018E-2</v>
      </c>
    </row>
    <row r="1104" spans="1:3" ht="13" x14ac:dyDescent="0.15">
      <c r="A1104" s="3">
        <f ca="1">IFERROR(__xludf.DUMMYFUNCTION("""COMPUTED_VALUE"""),42040.6666666666)</f>
        <v>42040.666666666599</v>
      </c>
      <c r="B1104" s="4">
        <f ca="1">IFERROR(__xludf.DUMMYFUNCTION("""COMPUTED_VALUE"""),526.14)</f>
        <v>526.14</v>
      </c>
      <c r="C1104" s="5">
        <f t="shared" ca="1" si="0"/>
        <v>9.1840984645059336E-3</v>
      </c>
    </row>
    <row r="1105" spans="1:3" ht="13" x14ac:dyDescent="0.15">
      <c r="A1105" s="3">
        <f ca="1">IFERROR(__xludf.DUMMYFUNCTION("""COMPUTED_VALUE"""),42041.6666666666)</f>
        <v>42041.666666666599</v>
      </c>
      <c r="B1105" s="4">
        <f ca="1">IFERROR(__xludf.DUMMYFUNCTION("""COMPUTED_VALUE"""),529.55)</f>
        <v>529.54999999999995</v>
      </c>
      <c r="C1105" s="5">
        <f t="shared" ca="1" si="0"/>
        <v>6.4602522703589892E-3</v>
      </c>
    </row>
    <row r="1106" spans="1:3" ht="13" x14ac:dyDescent="0.15">
      <c r="A1106" s="3">
        <f ca="1">IFERROR(__xludf.DUMMYFUNCTION("""COMPUTED_VALUE"""),42044.6666666666)</f>
        <v>42044.666666666599</v>
      </c>
      <c r="B1106" s="4">
        <f ca="1">IFERROR(__xludf.DUMMYFUNCTION("""COMPUTED_VALUE"""),526.39)</f>
        <v>526.39</v>
      </c>
      <c r="C1106" s="5">
        <f t="shared" ca="1" si="0"/>
        <v>-5.9852064195015618E-3</v>
      </c>
    </row>
    <row r="1107" spans="1:3" ht="13" x14ac:dyDescent="0.15">
      <c r="A1107" s="3">
        <f ca="1">IFERROR(__xludf.DUMMYFUNCTION("""COMPUTED_VALUE"""),42045.6666666666)</f>
        <v>42045.666666666599</v>
      </c>
      <c r="B1107" s="4">
        <f ca="1">IFERROR(__xludf.DUMMYFUNCTION("""COMPUTED_VALUE"""),535.47)</f>
        <v>535.47</v>
      </c>
      <c r="C1107" s="5">
        <f t="shared" ca="1" si="0"/>
        <v>1.7102483039349647E-2</v>
      </c>
    </row>
    <row r="1108" spans="1:3" ht="13" x14ac:dyDescent="0.15">
      <c r="A1108" s="3">
        <f ca="1">IFERROR(__xludf.DUMMYFUNCTION("""COMPUTED_VALUE"""),42046.6666666666)</f>
        <v>42046.666666666599</v>
      </c>
      <c r="B1108" s="4">
        <f ca="1">IFERROR(__xludf.DUMMYFUNCTION("""COMPUTED_VALUE"""),534.5)</f>
        <v>534.5</v>
      </c>
      <c r="C1108" s="5">
        <f t="shared" ca="1" si="0"/>
        <v>-1.8131354444262454E-3</v>
      </c>
    </row>
    <row r="1109" spans="1:3" ht="13" x14ac:dyDescent="0.15">
      <c r="A1109" s="3">
        <f ca="1">IFERROR(__xludf.DUMMYFUNCTION("""COMPUTED_VALUE"""),42047.6666666666)</f>
        <v>42047.666666666599</v>
      </c>
      <c r="B1109" s="4">
        <f ca="1">IFERROR(__xludf.DUMMYFUNCTION("""COMPUTED_VALUE"""),541.44)</f>
        <v>541.44000000000005</v>
      </c>
      <c r="C1109" s="5">
        <f t="shared" ca="1" si="0"/>
        <v>1.2900526512703981E-2</v>
      </c>
    </row>
    <row r="1110" spans="1:3" ht="13" x14ac:dyDescent="0.15">
      <c r="A1110" s="3">
        <f ca="1">IFERROR(__xludf.DUMMYFUNCTION("""COMPUTED_VALUE"""),42048.6666666666)</f>
        <v>42048.666666666599</v>
      </c>
      <c r="B1110" s="4">
        <f ca="1">IFERROR(__xludf.DUMMYFUNCTION("""COMPUTED_VALUE"""),547.51)</f>
        <v>547.51</v>
      </c>
      <c r="C1110" s="5">
        <f t="shared" ca="1" si="0"/>
        <v>1.114846938623441E-2</v>
      </c>
    </row>
    <row r="1111" spans="1:3" ht="13" x14ac:dyDescent="0.15">
      <c r="A1111" s="3">
        <f ca="1">IFERROR(__xludf.DUMMYFUNCTION("""COMPUTED_VALUE"""),42052.6666666666)</f>
        <v>42052.666666666599</v>
      </c>
      <c r="B1111" s="4">
        <f ca="1">IFERROR(__xludf.DUMMYFUNCTION("""COMPUTED_VALUE"""),541.35)</f>
        <v>541.35</v>
      </c>
      <c r="C1111" s="5">
        <f t="shared" ca="1" si="0"/>
        <v>-1.1314706607131048E-2</v>
      </c>
    </row>
    <row r="1112" spans="1:3" ht="13" x14ac:dyDescent="0.15">
      <c r="A1112" s="3">
        <f ca="1">IFERROR(__xludf.DUMMYFUNCTION("""COMPUTED_VALUE"""),42053.6666666666)</f>
        <v>42053.666666666599</v>
      </c>
      <c r="B1112" s="4">
        <f ca="1">IFERROR(__xludf.DUMMYFUNCTION("""COMPUTED_VALUE"""),538.22)</f>
        <v>538.22</v>
      </c>
      <c r="C1112" s="5">
        <f t="shared" ca="1" si="0"/>
        <v>-5.7986212478250464E-3</v>
      </c>
    </row>
    <row r="1113" spans="1:3" ht="13" x14ac:dyDescent="0.15">
      <c r="A1113" s="3">
        <f ca="1">IFERROR(__xludf.DUMMYFUNCTION("""COMPUTED_VALUE"""),42054.6666666666)</f>
        <v>42054.666666666599</v>
      </c>
      <c r="B1113" s="4">
        <f ca="1">IFERROR(__xludf.DUMMYFUNCTION("""COMPUTED_VALUE"""),541.38)</f>
        <v>541.38</v>
      </c>
      <c r="C1113" s="5">
        <f t="shared" ca="1" si="0"/>
        <v>5.8540367253821128E-3</v>
      </c>
    </row>
    <row r="1114" spans="1:3" ht="13" x14ac:dyDescent="0.15">
      <c r="A1114" s="3">
        <f ca="1">IFERROR(__xludf.DUMMYFUNCTION("""COMPUTED_VALUE"""),42055.6666666666)</f>
        <v>42055.666666666599</v>
      </c>
      <c r="B1114" s="4">
        <f ca="1">IFERROR(__xludf.DUMMYFUNCTION("""COMPUTED_VALUE"""),537.47)</f>
        <v>537.47</v>
      </c>
      <c r="C1114" s="5">
        <f t="shared" ca="1" si="0"/>
        <v>-7.2484907437913885E-3</v>
      </c>
    </row>
    <row r="1115" spans="1:3" ht="13" x14ac:dyDescent="0.15">
      <c r="A1115" s="3">
        <f ca="1">IFERROR(__xludf.DUMMYFUNCTION("""COMPUTED_VALUE"""),42058.6666666666)</f>
        <v>42058.666666666599</v>
      </c>
      <c r="B1115" s="4">
        <f ca="1">IFERROR(__xludf.DUMMYFUNCTION("""COMPUTED_VALUE"""),530.45)</f>
        <v>530.45000000000005</v>
      </c>
      <c r="C1115" s="5">
        <f t="shared" ca="1" si="0"/>
        <v>-1.3147241585392233E-2</v>
      </c>
    </row>
    <row r="1116" spans="1:3" ht="13" x14ac:dyDescent="0.15">
      <c r="A1116" s="3">
        <f ca="1">IFERROR(__xludf.DUMMYFUNCTION("""COMPUTED_VALUE"""),42059.6666666666)</f>
        <v>42059.666666666599</v>
      </c>
      <c r="B1116" s="4">
        <f ca="1">IFERROR(__xludf.DUMMYFUNCTION("""COMPUTED_VALUE"""),534.62)</f>
        <v>534.62</v>
      </c>
      <c r="C1116" s="5">
        <f t="shared" ca="1" si="0"/>
        <v>7.8305112482807762E-3</v>
      </c>
    </row>
    <row r="1117" spans="1:3" ht="13" x14ac:dyDescent="0.15">
      <c r="A1117" s="3">
        <f ca="1">IFERROR(__xludf.DUMMYFUNCTION("""COMPUTED_VALUE"""),42060.6666666666)</f>
        <v>42060.666666666599</v>
      </c>
      <c r="B1117" s="4">
        <f ca="1">IFERROR(__xludf.DUMMYFUNCTION("""COMPUTED_VALUE"""),542.38)</f>
        <v>542.38</v>
      </c>
      <c r="C1117" s="5">
        <f t="shared" ca="1" si="0"/>
        <v>1.4410648636450642E-2</v>
      </c>
    </row>
    <row r="1118" spans="1:3" ht="13" x14ac:dyDescent="0.15">
      <c r="A1118" s="3">
        <f ca="1">IFERROR(__xludf.DUMMYFUNCTION("""COMPUTED_VALUE"""),42061.6666666666)</f>
        <v>42061.666666666599</v>
      </c>
      <c r="B1118" s="4">
        <f ca="1">IFERROR(__xludf.DUMMYFUNCTION("""COMPUTED_VALUE"""),553.96)</f>
        <v>553.96</v>
      </c>
      <c r="C1118" s="5">
        <f t="shared" ca="1" si="0"/>
        <v>2.1125619184504993E-2</v>
      </c>
    </row>
    <row r="1119" spans="1:3" ht="13" x14ac:dyDescent="0.15">
      <c r="A1119" s="3">
        <f ca="1">IFERROR(__xludf.DUMMYFUNCTION("""COMPUTED_VALUE"""),42062.6666666666)</f>
        <v>42062.666666666599</v>
      </c>
      <c r="B1119" s="4">
        <f ca="1">IFERROR(__xludf.DUMMYFUNCTION("""COMPUTED_VALUE"""),556.87)</f>
        <v>556.87</v>
      </c>
      <c r="C1119" s="5">
        <f t="shared" ca="1" si="0"/>
        <v>5.2393375346029029E-3</v>
      </c>
    </row>
    <row r="1120" spans="1:3" ht="13" x14ac:dyDescent="0.15">
      <c r="A1120" s="3">
        <f ca="1">IFERROR(__xludf.DUMMYFUNCTION("""COMPUTED_VALUE"""),42065.6666666666)</f>
        <v>42065.666666666599</v>
      </c>
      <c r="B1120" s="4">
        <f ca="1">IFERROR(__xludf.DUMMYFUNCTION("""COMPUTED_VALUE"""),569.78)</f>
        <v>569.78</v>
      </c>
      <c r="C1120" s="5">
        <f t="shared" ca="1" si="0"/>
        <v>2.2918501903567246E-2</v>
      </c>
    </row>
    <row r="1121" spans="1:3" ht="13" x14ac:dyDescent="0.15">
      <c r="A1121" s="3">
        <f ca="1">IFERROR(__xludf.DUMMYFUNCTION("""COMPUTED_VALUE"""),42066.6666666666)</f>
        <v>42066.666666666599</v>
      </c>
      <c r="B1121" s="4">
        <f ca="1">IFERROR(__xludf.DUMMYFUNCTION("""COMPUTED_VALUE"""),572.07)</f>
        <v>572.07000000000005</v>
      </c>
      <c r="C1121" s="5">
        <f t="shared" ca="1" si="0"/>
        <v>4.0110401019580414E-3</v>
      </c>
    </row>
    <row r="1122" spans="1:3" ht="13" x14ac:dyDescent="0.15">
      <c r="A1122" s="3">
        <f ca="1">IFERROR(__xludf.DUMMYFUNCTION("""COMPUTED_VALUE"""),42067.6666666666)</f>
        <v>42067.666666666599</v>
      </c>
      <c r="B1122" s="4">
        <f ca="1">IFERROR(__xludf.DUMMYFUNCTION("""COMPUTED_VALUE"""),571.8)</f>
        <v>571.79999999999995</v>
      </c>
      <c r="C1122" s="5">
        <f t="shared" ca="1" si="0"/>
        <v>-4.720816264338995E-4</v>
      </c>
    </row>
    <row r="1123" spans="1:3" ht="13" x14ac:dyDescent="0.15">
      <c r="A1123" s="3">
        <f ca="1">IFERROR(__xludf.DUMMYFUNCTION("""COMPUTED_VALUE"""),42068.6666666666)</f>
        <v>42068.666666666599</v>
      </c>
      <c r="B1123" s="4">
        <f ca="1">IFERROR(__xludf.DUMMYFUNCTION("""COMPUTED_VALUE"""),573.76)</f>
        <v>573.76</v>
      </c>
      <c r="C1123" s="5">
        <f t="shared" ca="1" si="0"/>
        <v>3.4219105285566067E-3</v>
      </c>
    </row>
    <row r="1124" spans="1:3" ht="13" x14ac:dyDescent="0.15">
      <c r="A1124" s="3">
        <f ca="1">IFERROR(__xludf.DUMMYFUNCTION("""COMPUTED_VALUE"""),42069.6666666666)</f>
        <v>42069.666666666599</v>
      </c>
      <c r="B1124" s="4">
        <f ca="1">IFERROR(__xludf.DUMMYFUNCTION("""COMPUTED_VALUE"""),566.13)</f>
        <v>566.13</v>
      </c>
      <c r="C1124" s="5">
        <f t="shared" ca="1" si="0"/>
        <v>-1.3387456607654079E-2</v>
      </c>
    </row>
    <row r="1125" spans="1:3" ht="13" x14ac:dyDescent="0.15">
      <c r="A1125" s="3">
        <f ca="1">IFERROR(__xludf.DUMMYFUNCTION("""COMPUTED_VALUE"""),42072.6666666666)</f>
        <v>42072.666666666599</v>
      </c>
      <c r="B1125" s="4">
        <f ca="1">IFERROR(__xludf.DUMMYFUNCTION("""COMPUTED_VALUE"""),567.29)</f>
        <v>567.29</v>
      </c>
      <c r="C1125" s="5">
        <f t="shared" ca="1" si="0"/>
        <v>2.0469030103847301E-3</v>
      </c>
    </row>
    <row r="1126" spans="1:3" ht="13" x14ac:dyDescent="0.15">
      <c r="A1126" s="3">
        <f ca="1">IFERROR(__xludf.DUMMYFUNCTION("""COMPUTED_VALUE"""),42073.6666666666)</f>
        <v>42073.666666666599</v>
      </c>
      <c r="B1126" s="4">
        <f ca="1">IFERROR(__xludf.DUMMYFUNCTION("""COMPUTED_VALUE"""),553.49)</f>
        <v>553.49</v>
      </c>
      <c r="C1126" s="5">
        <f t="shared" ca="1" si="0"/>
        <v>-2.4626951681349638E-2</v>
      </c>
    </row>
    <row r="1127" spans="1:3" ht="13" x14ac:dyDescent="0.15">
      <c r="A1127" s="3">
        <f ca="1">IFERROR(__xludf.DUMMYFUNCTION("""COMPUTED_VALUE"""),42074.6666666666)</f>
        <v>42074.666666666599</v>
      </c>
      <c r="B1127" s="4">
        <f ca="1">IFERROR(__xludf.DUMMYFUNCTION("""COMPUTED_VALUE"""),549.67)</f>
        <v>549.66999999999996</v>
      </c>
      <c r="C1127" s="5">
        <f t="shared" ca="1" si="0"/>
        <v>-6.9255869836648727E-3</v>
      </c>
    </row>
    <row r="1128" spans="1:3" ht="13" x14ac:dyDescent="0.15">
      <c r="A1128" s="3">
        <f ca="1">IFERROR(__xludf.DUMMYFUNCTION("""COMPUTED_VALUE"""),42075.6666666666)</f>
        <v>42075.666666666599</v>
      </c>
      <c r="B1128" s="4">
        <f ca="1">IFERROR(__xludf.DUMMYFUNCTION("""COMPUTED_VALUE"""),553.99)</f>
        <v>553.99</v>
      </c>
      <c r="C1128" s="5">
        <f t="shared" ca="1" si="0"/>
        <v>7.8285378883705525E-3</v>
      </c>
    </row>
    <row r="1129" spans="1:3" ht="13" x14ac:dyDescent="0.15">
      <c r="A1129" s="3">
        <f ca="1">IFERROR(__xludf.DUMMYFUNCTION("""COMPUTED_VALUE"""),42076.6666666666)</f>
        <v>42076.666666666599</v>
      </c>
      <c r="B1129" s="4">
        <f ca="1">IFERROR(__xludf.DUMMYFUNCTION("""COMPUTED_VALUE"""),545.82)</f>
        <v>545.82000000000005</v>
      </c>
      <c r="C1129" s="5">
        <f t="shared" ca="1" si="0"/>
        <v>-1.4857384980829001E-2</v>
      </c>
    </row>
    <row r="1130" spans="1:3" ht="13" x14ac:dyDescent="0.15">
      <c r="A1130" s="3">
        <f ca="1">IFERROR(__xludf.DUMMYFUNCTION("""COMPUTED_VALUE"""),42079.6666666666)</f>
        <v>42079.666666666599</v>
      </c>
      <c r="B1130" s="4">
        <f ca="1">IFERROR(__xludf.DUMMYFUNCTION("""COMPUTED_VALUE"""),552.99)</f>
        <v>552.99</v>
      </c>
      <c r="C1130" s="5">
        <f t="shared" ca="1" si="0"/>
        <v>1.3050667114166296E-2</v>
      </c>
    </row>
    <row r="1131" spans="1:3" ht="13" x14ac:dyDescent="0.15">
      <c r="A1131" s="3">
        <f ca="1">IFERROR(__xludf.DUMMYFUNCTION("""COMPUTED_VALUE"""),42080.6666666666)</f>
        <v>42080.666666666599</v>
      </c>
      <c r="B1131" s="4">
        <f ca="1">IFERROR(__xludf.DUMMYFUNCTION("""COMPUTED_VALUE"""),549.33)</f>
        <v>549.33000000000004</v>
      </c>
      <c r="C1131" s="5">
        <f t="shared" ca="1" si="0"/>
        <v>-6.640564354459708E-3</v>
      </c>
    </row>
    <row r="1132" spans="1:3" ht="13" x14ac:dyDescent="0.15">
      <c r="A1132" s="3">
        <f ca="1">IFERROR(__xludf.DUMMYFUNCTION("""COMPUTED_VALUE"""),42081.6666666666)</f>
        <v>42081.666666666599</v>
      </c>
      <c r="B1132" s="4">
        <f ca="1">IFERROR(__xludf.DUMMYFUNCTION("""COMPUTED_VALUE"""),557.97)</f>
        <v>557.97</v>
      </c>
      <c r="C1132" s="5">
        <f t="shared" ca="1" si="0"/>
        <v>1.5605843673413094E-2</v>
      </c>
    </row>
    <row r="1133" spans="1:3" ht="13" x14ac:dyDescent="0.15">
      <c r="A1133" s="3">
        <f ca="1">IFERROR(__xludf.DUMMYFUNCTION("""COMPUTED_VALUE"""),42082.6666666666)</f>
        <v>42082.666666666599</v>
      </c>
      <c r="B1133" s="4">
        <f ca="1">IFERROR(__xludf.DUMMYFUNCTION("""COMPUTED_VALUE"""),556.46)</f>
        <v>556.46</v>
      </c>
      <c r="C1133" s="5">
        <f t="shared" ca="1" si="0"/>
        <v>-2.7099071706058967E-3</v>
      </c>
    </row>
    <row r="1134" spans="1:3" ht="13" x14ac:dyDescent="0.15">
      <c r="A1134" s="3">
        <f ca="1">IFERROR(__xludf.DUMMYFUNCTION("""COMPUTED_VALUE"""),42083.6666666666)</f>
        <v>42083.666666666599</v>
      </c>
      <c r="B1134" s="4">
        <f ca="1">IFERROR(__xludf.DUMMYFUNCTION("""COMPUTED_VALUE"""),558.83)</f>
        <v>558.83000000000004</v>
      </c>
      <c r="C1134" s="5">
        <f t="shared" ca="1" si="0"/>
        <v>4.2500220882097121E-3</v>
      </c>
    </row>
    <row r="1135" spans="1:3" ht="13" x14ac:dyDescent="0.15">
      <c r="A1135" s="3">
        <f ca="1">IFERROR(__xludf.DUMMYFUNCTION("""COMPUTED_VALUE"""),42086.6666666666)</f>
        <v>42086.666666666599</v>
      </c>
      <c r="B1135" s="4">
        <f ca="1">IFERROR(__xludf.DUMMYFUNCTION("""COMPUTED_VALUE"""),557.28)</f>
        <v>557.28</v>
      </c>
      <c r="C1135" s="5">
        <f t="shared" ca="1" si="0"/>
        <v>-2.7775057950581205E-3</v>
      </c>
    </row>
    <row r="1136" spans="1:3" ht="13" x14ac:dyDescent="0.15">
      <c r="A1136" s="3">
        <f ca="1">IFERROR(__xludf.DUMMYFUNCTION("""COMPUTED_VALUE"""),42087.6666666666)</f>
        <v>42087.666666666599</v>
      </c>
      <c r="B1136" s="4">
        <f ca="1">IFERROR(__xludf.DUMMYFUNCTION("""COMPUTED_VALUE"""),568.63)</f>
        <v>568.63</v>
      </c>
      <c r="C1136" s="5">
        <f t="shared" ca="1" si="0"/>
        <v>2.0162152375167487E-2</v>
      </c>
    </row>
    <row r="1137" spans="1:3" ht="13" x14ac:dyDescent="0.15">
      <c r="A1137" s="3">
        <f ca="1">IFERROR(__xludf.DUMMYFUNCTION("""COMPUTED_VALUE"""),42088.6666666666)</f>
        <v>42088.666666666599</v>
      </c>
      <c r="B1137" s="4">
        <f ca="1">IFERROR(__xludf.DUMMYFUNCTION("""COMPUTED_VALUE"""),557.26)</f>
        <v>557.26</v>
      </c>
      <c r="C1137" s="5">
        <f t="shared" ca="1" si="0"/>
        <v>-2.0198041620958736E-2</v>
      </c>
    </row>
    <row r="1138" spans="1:3" ht="13" x14ac:dyDescent="0.15">
      <c r="A1138" s="3">
        <f ca="1">IFERROR(__xludf.DUMMYFUNCTION("""COMPUTED_VALUE"""),42089.6666666666)</f>
        <v>42089.666666666599</v>
      </c>
      <c r="B1138" s="4">
        <f ca="1">IFERROR(__xludf.DUMMYFUNCTION("""COMPUTED_VALUE"""),553.65)</f>
        <v>553.65</v>
      </c>
      <c r="C1138" s="5">
        <f t="shared" ca="1" si="0"/>
        <v>-6.4991992277824845E-3</v>
      </c>
    </row>
    <row r="1139" spans="1:3" ht="13" x14ac:dyDescent="0.15">
      <c r="A1139" s="3">
        <f ca="1">IFERROR(__xludf.DUMMYFUNCTION("""COMPUTED_VALUE"""),42090.6666666666)</f>
        <v>42090.666666666599</v>
      </c>
      <c r="B1139" s="4">
        <f ca="1">IFERROR(__xludf.DUMMYFUNCTION("""COMPUTED_VALUE"""),546.84)</f>
        <v>546.84</v>
      </c>
      <c r="C1139" s="5">
        <f t="shared" ca="1" si="0"/>
        <v>-1.2376463080325729E-2</v>
      </c>
    </row>
    <row r="1140" spans="1:3" ht="13" x14ac:dyDescent="0.15">
      <c r="A1140" s="3">
        <f ca="1">IFERROR(__xludf.DUMMYFUNCTION("""COMPUTED_VALUE"""),42093.6666666666)</f>
        <v>42093.666666666599</v>
      </c>
      <c r="B1140" s="4">
        <f ca="1">IFERROR(__xludf.DUMMYFUNCTION("""COMPUTED_VALUE"""),550.52)</f>
        <v>550.52</v>
      </c>
      <c r="C1140" s="5">
        <f t="shared" ca="1" si="0"/>
        <v>6.7070310475402777E-3</v>
      </c>
    </row>
    <row r="1141" spans="1:3" ht="13" x14ac:dyDescent="0.15">
      <c r="A1141" s="3">
        <f ca="1">IFERROR(__xludf.DUMMYFUNCTION("""COMPUTED_VALUE"""),42094.6666666666)</f>
        <v>42094.666666666599</v>
      </c>
      <c r="B1141" s="4">
        <f ca="1">IFERROR(__xludf.DUMMYFUNCTION("""COMPUTED_VALUE"""),546.5)</f>
        <v>546.5</v>
      </c>
      <c r="C1141" s="5">
        <f t="shared" ca="1" si="0"/>
        <v>-7.3289784947385209E-3</v>
      </c>
    </row>
    <row r="1142" spans="1:3" ht="13" x14ac:dyDescent="0.15">
      <c r="A1142" s="3">
        <f ca="1">IFERROR(__xludf.DUMMYFUNCTION("""COMPUTED_VALUE"""),42095.6666666666)</f>
        <v>42095.666666666599</v>
      </c>
      <c r="B1142" s="4">
        <f ca="1">IFERROR(__xludf.DUMMYFUNCTION("""COMPUTED_VALUE"""),541.07)</f>
        <v>541.07000000000005</v>
      </c>
      <c r="C1142" s="5">
        <f t="shared" ca="1" si="0"/>
        <v>-9.9856471217937351E-3</v>
      </c>
    </row>
    <row r="1143" spans="1:3" ht="13" x14ac:dyDescent="0.15">
      <c r="A1143" s="3">
        <f ca="1">IFERROR(__xludf.DUMMYFUNCTION("""COMPUTED_VALUE"""),42096.6666666666)</f>
        <v>42096.666666666599</v>
      </c>
      <c r="B1143" s="4">
        <f ca="1">IFERROR(__xludf.DUMMYFUNCTION("""COMPUTED_VALUE"""),534.06)</f>
        <v>534.05999999999995</v>
      </c>
      <c r="C1143" s="5">
        <f t="shared" ca="1" si="0"/>
        <v>-1.3040468295904412E-2</v>
      </c>
    </row>
    <row r="1144" spans="1:3" ht="13" x14ac:dyDescent="0.15">
      <c r="A1144" s="3">
        <f ca="1">IFERROR(__xludf.DUMMYFUNCTION("""COMPUTED_VALUE"""),42100.6666666666)</f>
        <v>42100.666666666599</v>
      </c>
      <c r="B1144" s="4">
        <f ca="1">IFERROR(__xludf.DUMMYFUNCTION("""COMPUTED_VALUE"""),535.3)</f>
        <v>535.29999999999995</v>
      </c>
      <c r="C1144" s="5">
        <f t="shared" ca="1" si="0"/>
        <v>2.3191452004404198E-3</v>
      </c>
    </row>
    <row r="1145" spans="1:3" ht="13" x14ac:dyDescent="0.15">
      <c r="A1145" s="3">
        <f ca="1">IFERROR(__xludf.DUMMYFUNCTION("""COMPUTED_VALUE"""),42101.6666666666)</f>
        <v>42101.666666666599</v>
      </c>
      <c r="B1145" s="4">
        <f ca="1">IFERROR(__xludf.DUMMYFUNCTION("""COMPUTED_VALUE"""),535.55)</f>
        <v>535.54999999999995</v>
      </c>
      <c r="C1145" s="5">
        <f t="shared" ca="1" si="0"/>
        <v>4.6691881130296039E-4</v>
      </c>
    </row>
    <row r="1146" spans="1:3" ht="13" x14ac:dyDescent="0.15">
      <c r="A1146" s="3">
        <f ca="1">IFERROR(__xludf.DUMMYFUNCTION("""COMPUTED_VALUE"""),42102.6666666666)</f>
        <v>42102.666666666599</v>
      </c>
      <c r="B1146" s="4">
        <f ca="1">IFERROR(__xludf.DUMMYFUNCTION("""COMPUTED_VALUE"""),540.13)</f>
        <v>540.13</v>
      </c>
      <c r="C1146" s="5">
        <f t="shared" ca="1" si="0"/>
        <v>8.5155951150199787E-3</v>
      </c>
    </row>
    <row r="1147" spans="1:3" ht="13" x14ac:dyDescent="0.15">
      <c r="A1147" s="3">
        <f ca="1">IFERROR(__xludf.DUMMYFUNCTION("""COMPUTED_VALUE"""),42103.6666666666)</f>
        <v>42103.666666666599</v>
      </c>
      <c r="B1147" s="4">
        <f ca="1">IFERROR(__xludf.DUMMYFUNCTION("""COMPUTED_VALUE"""),539.3)</f>
        <v>539.29999999999995</v>
      </c>
      <c r="C1147" s="5">
        <f t="shared" ca="1" si="0"/>
        <v>-1.5378489824773925E-3</v>
      </c>
    </row>
    <row r="1148" spans="1:3" ht="13" x14ac:dyDescent="0.15">
      <c r="A1148" s="3">
        <f ca="1">IFERROR(__xludf.DUMMYFUNCTION("""COMPUTED_VALUE"""),42104.6666666666)</f>
        <v>42104.666666666599</v>
      </c>
      <c r="B1148" s="4">
        <f ca="1">IFERROR(__xludf.DUMMYFUNCTION("""COMPUTED_VALUE"""),538.53)</f>
        <v>538.53</v>
      </c>
      <c r="C1148" s="5">
        <f t="shared" ca="1" si="0"/>
        <v>-1.4287969920928872E-3</v>
      </c>
    </row>
    <row r="1149" spans="1:3" ht="13" x14ac:dyDescent="0.15">
      <c r="A1149" s="3">
        <f ca="1">IFERROR(__xludf.DUMMYFUNCTION("""COMPUTED_VALUE"""),42107.6666666666)</f>
        <v>42107.666666666599</v>
      </c>
      <c r="B1149" s="4">
        <f ca="1">IFERROR(__xludf.DUMMYFUNCTION("""COMPUTED_VALUE"""),537.69)</f>
        <v>537.69000000000005</v>
      </c>
      <c r="C1149" s="5">
        <f t="shared" ca="1" si="0"/>
        <v>-1.5610194394726411E-3</v>
      </c>
    </row>
    <row r="1150" spans="1:3" ht="13" x14ac:dyDescent="0.15">
      <c r="A1150" s="3">
        <f ca="1">IFERROR(__xludf.DUMMYFUNCTION("""COMPUTED_VALUE"""),42108.6666666666)</f>
        <v>42108.666666666599</v>
      </c>
      <c r="B1150" s="4">
        <f ca="1">IFERROR(__xludf.DUMMYFUNCTION("""COMPUTED_VALUE"""),528.94)</f>
        <v>528.94000000000005</v>
      </c>
      <c r="C1150" s="5">
        <f t="shared" ca="1" si="0"/>
        <v>-1.6407182036121241E-2</v>
      </c>
    </row>
    <row r="1151" spans="1:3" ht="13" x14ac:dyDescent="0.15">
      <c r="A1151" s="3">
        <f ca="1">IFERROR(__xludf.DUMMYFUNCTION("""COMPUTED_VALUE"""),42109.6666666666)</f>
        <v>42109.666666666599</v>
      </c>
      <c r="B1151" s="4">
        <f ca="1">IFERROR(__xludf.DUMMYFUNCTION("""COMPUTED_VALUE"""),531.07)</f>
        <v>531.07000000000005</v>
      </c>
      <c r="C1151" s="5">
        <f t="shared" ca="1" si="0"/>
        <v>4.018835420059215E-3</v>
      </c>
    </row>
    <row r="1152" spans="1:3" ht="13" x14ac:dyDescent="0.15">
      <c r="A1152" s="3">
        <f ca="1">IFERROR(__xludf.DUMMYFUNCTION("""COMPUTED_VALUE"""),42110.6666666666)</f>
        <v>42110.666666666599</v>
      </c>
      <c r="B1152" s="4">
        <f ca="1">IFERROR(__xludf.DUMMYFUNCTION("""COMPUTED_VALUE"""),532.34)</f>
        <v>532.34</v>
      </c>
      <c r="C1152" s="5">
        <f t="shared" ca="1" si="0"/>
        <v>2.3885436544586916E-3</v>
      </c>
    </row>
    <row r="1153" spans="1:3" ht="13" x14ac:dyDescent="0.15">
      <c r="A1153" s="3">
        <f ca="1">IFERROR(__xludf.DUMMYFUNCTION("""COMPUTED_VALUE"""),42111.6666666666)</f>
        <v>42111.666666666599</v>
      </c>
      <c r="B1153" s="4">
        <f ca="1">IFERROR(__xludf.DUMMYFUNCTION("""COMPUTED_VALUE"""),522.62)</f>
        <v>522.62</v>
      </c>
      <c r="C1153" s="5">
        <f t="shared" ca="1" si="0"/>
        <v>-1.8427760408261429E-2</v>
      </c>
    </row>
    <row r="1154" spans="1:3" ht="13" x14ac:dyDescent="0.15">
      <c r="A1154" s="3">
        <f ca="1">IFERROR(__xludf.DUMMYFUNCTION("""COMPUTED_VALUE"""),42114.6666666666)</f>
        <v>42114.666666666599</v>
      </c>
      <c r="B1154" s="4">
        <f ca="1">IFERROR(__xludf.DUMMYFUNCTION("""COMPUTED_VALUE"""),533.91)</f>
        <v>533.91</v>
      </c>
      <c r="C1154" s="5">
        <f t="shared" ca="1" si="0"/>
        <v>2.1372662888252705E-2</v>
      </c>
    </row>
    <row r="1155" spans="1:3" ht="13" x14ac:dyDescent="0.15">
      <c r="A1155" s="3">
        <f ca="1">IFERROR(__xludf.DUMMYFUNCTION("""COMPUTED_VALUE"""),42115.6666666666)</f>
        <v>42115.666666666599</v>
      </c>
      <c r="B1155" s="4">
        <f ca="1">IFERROR(__xludf.DUMMYFUNCTION("""COMPUTED_VALUE"""),532.51)</f>
        <v>532.51</v>
      </c>
      <c r="C1155" s="5">
        <f t="shared" ca="1" si="0"/>
        <v>-2.6256086800303313E-3</v>
      </c>
    </row>
    <row r="1156" spans="1:3" ht="13" x14ac:dyDescent="0.15">
      <c r="A1156" s="3">
        <f ca="1">IFERROR(__xludf.DUMMYFUNCTION("""COMPUTED_VALUE"""),42116.6666666666)</f>
        <v>42116.666666666599</v>
      </c>
      <c r="B1156" s="4">
        <f ca="1">IFERROR(__xludf.DUMMYFUNCTION("""COMPUTED_VALUE"""),537.89)</f>
        <v>537.89</v>
      </c>
      <c r="C1156" s="5">
        <f t="shared" ca="1" si="0"/>
        <v>1.0052401540275121E-2</v>
      </c>
    </row>
    <row r="1157" spans="1:3" ht="13" x14ac:dyDescent="0.15">
      <c r="A1157" s="3">
        <f ca="1">IFERROR(__xludf.DUMMYFUNCTION("""COMPUTED_VALUE"""),42117.6666666666)</f>
        <v>42117.666666666599</v>
      </c>
      <c r="B1157" s="4">
        <f ca="1">IFERROR(__xludf.DUMMYFUNCTION("""COMPUTED_VALUE"""),545.5)</f>
        <v>545.5</v>
      </c>
      <c r="C1157" s="5">
        <f t="shared" ca="1" si="0"/>
        <v>1.4048726982876923E-2</v>
      </c>
    </row>
    <row r="1158" spans="1:3" ht="13" x14ac:dyDescent="0.15">
      <c r="A1158" s="3">
        <f ca="1">IFERROR(__xludf.DUMMYFUNCTION("""COMPUTED_VALUE"""),42118.6666666666)</f>
        <v>42118.666666666599</v>
      </c>
      <c r="B1158" s="4">
        <f ca="1">IFERROR(__xludf.DUMMYFUNCTION("""COMPUTED_VALUE"""),563.51)</f>
        <v>563.51</v>
      </c>
      <c r="C1158" s="5">
        <f t="shared" ca="1" si="0"/>
        <v>3.2482274278169299E-2</v>
      </c>
    </row>
    <row r="1159" spans="1:3" ht="13" x14ac:dyDescent="0.15">
      <c r="A1159" s="3">
        <f ca="1">IFERROR(__xludf.DUMMYFUNCTION("""COMPUTED_VALUE"""),42121.6666666666)</f>
        <v>42121.666666666599</v>
      </c>
      <c r="B1159" s="4">
        <f ca="1">IFERROR(__xludf.DUMMYFUNCTION("""COMPUTED_VALUE"""),555.37)</f>
        <v>555.37</v>
      </c>
      <c r="C1159" s="5">
        <f t="shared" ca="1" si="0"/>
        <v>-1.4550521261699888E-2</v>
      </c>
    </row>
    <row r="1160" spans="1:3" ht="13" x14ac:dyDescent="0.15">
      <c r="A1160" s="3">
        <f ca="1">IFERROR(__xludf.DUMMYFUNCTION("""COMPUTED_VALUE"""),42122.6666666666)</f>
        <v>42122.666666666599</v>
      </c>
      <c r="B1160" s="4">
        <f ca="1">IFERROR(__xludf.DUMMYFUNCTION("""COMPUTED_VALUE"""),553.68)</f>
        <v>553.67999999999995</v>
      </c>
      <c r="C1160" s="5">
        <f t="shared" ca="1" si="0"/>
        <v>-3.0476557559872236E-3</v>
      </c>
    </row>
    <row r="1161" spans="1:3" ht="13" x14ac:dyDescent="0.15">
      <c r="A1161" s="3">
        <f ca="1">IFERROR(__xludf.DUMMYFUNCTION("""COMPUTED_VALUE"""),42123.6666666666)</f>
        <v>42123.666666666599</v>
      </c>
      <c r="B1161" s="4">
        <f ca="1">IFERROR(__xludf.DUMMYFUNCTION("""COMPUTED_VALUE"""),549.08)</f>
        <v>549.08000000000004</v>
      </c>
      <c r="C1161" s="5">
        <f t="shared" ca="1" si="0"/>
        <v>-8.3427521501488727E-3</v>
      </c>
    </row>
    <row r="1162" spans="1:3" ht="13" x14ac:dyDescent="0.15">
      <c r="A1162" s="3">
        <f ca="1">IFERROR(__xludf.DUMMYFUNCTION("""COMPUTED_VALUE"""),42124.6666666666)</f>
        <v>42124.666666666599</v>
      </c>
      <c r="B1162" s="4">
        <f ca="1">IFERROR(__xludf.DUMMYFUNCTION("""COMPUTED_VALUE"""),537.34)</f>
        <v>537.34</v>
      </c>
      <c r="C1162" s="5">
        <f t="shared" ca="1" si="0"/>
        <v>-2.1613109114069669E-2</v>
      </c>
    </row>
    <row r="1163" spans="1:3" ht="13" x14ac:dyDescent="0.15">
      <c r="A1163" s="3">
        <f ca="1">IFERROR(__xludf.DUMMYFUNCTION("""COMPUTED_VALUE"""),42125.6666666666)</f>
        <v>42125.666666666599</v>
      </c>
      <c r="B1163" s="4">
        <f ca="1">IFERROR(__xludf.DUMMYFUNCTION("""COMPUTED_VALUE"""),537.9)</f>
        <v>537.9</v>
      </c>
      <c r="C1163" s="5">
        <f t="shared" ca="1" si="0"/>
        <v>1.0416280098074881E-3</v>
      </c>
    </row>
    <row r="1164" spans="1:3" ht="13" x14ac:dyDescent="0.15">
      <c r="A1164" s="3">
        <f ca="1">IFERROR(__xludf.DUMMYFUNCTION("""COMPUTED_VALUE"""),42128.6666666666)</f>
        <v>42128.666666666599</v>
      </c>
      <c r="B1164" s="4">
        <f ca="1">IFERROR(__xludf.DUMMYFUNCTION("""COMPUTED_VALUE"""),540.78)</f>
        <v>540.78</v>
      </c>
      <c r="C1164" s="5">
        <f t="shared" ca="1" si="0"/>
        <v>5.3398725171764959E-3</v>
      </c>
    </row>
    <row r="1165" spans="1:3" ht="13" x14ac:dyDescent="0.15">
      <c r="A1165" s="3">
        <f ca="1">IFERROR(__xludf.DUMMYFUNCTION("""COMPUTED_VALUE"""),42129.6666666666)</f>
        <v>42129.666666666599</v>
      </c>
      <c r="B1165" s="4">
        <f ca="1">IFERROR(__xludf.DUMMYFUNCTION("""COMPUTED_VALUE"""),530.8)</f>
        <v>530.79999999999995</v>
      </c>
      <c r="C1165" s="5">
        <f t="shared" ca="1" si="0"/>
        <v>-1.8627239338321055E-2</v>
      </c>
    </row>
    <row r="1166" spans="1:3" ht="13" x14ac:dyDescent="0.15">
      <c r="A1166" s="3">
        <f ca="1">IFERROR(__xludf.DUMMYFUNCTION("""COMPUTED_VALUE"""),42130.6666666666)</f>
        <v>42130.666666666599</v>
      </c>
      <c r="B1166" s="4">
        <f ca="1">IFERROR(__xludf.DUMMYFUNCTION("""COMPUTED_VALUE"""),524.22)</f>
        <v>524.22</v>
      </c>
      <c r="C1166" s="5">
        <f t="shared" ca="1" si="0"/>
        <v>-1.2473858919994044E-2</v>
      </c>
    </row>
    <row r="1167" spans="1:3" ht="13" x14ac:dyDescent="0.15">
      <c r="A1167" s="3">
        <f ca="1">IFERROR(__xludf.DUMMYFUNCTION("""COMPUTED_VALUE"""),42131.6666666666)</f>
        <v>42131.666666666599</v>
      </c>
      <c r="B1167" s="4">
        <f ca="1">IFERROR(__xludf.DUMMYFUNCTION("""COMPUTED_VALUE"""),530.7)</f>
        <v>530.70000000000005</v>
      </c>
      <c r="C1167" s="5">
        <f t="shared" ca="1" si="0"/>
        <v>1.2285446295791168E-2</v>
      </c>
    </row>
    <row r="1168" spans="1:3" ht="13" x14ac:dyDescent="0.15">
      <c r="A1168" s="3">
        <f ca="1">IFERROR(__xludf.DUMMYFUNCTION("""COMPUTED_VALUE"""),42132.6666666666)</f>
        <v>42132.666666666599</v>
      </c>
      <c r="B1168" s="4">
        <f ca="1">IFERROR(__xludf.DUMMYFUNCTION("""COMPUTED_VALUE"""),538.22)</f>
        <v>538.22</v>
      </c>
      <c r="C1168" s="5">
        <f t="shared" ca="1" si="0"/>
        <v>1.4070508675232823E-2</v>
      </c>
    </row>
    <row r="1169" spans="1:3" ht="13" x14ac:dyDescent="0.15">
      <c r="A1169" s="3">
        <f ca="1">IFERROR(__xludf.DUMMYFUNCTION("""COMPUTED_VALUE"""),42135.6666666666)</f>
        <v>42135.666666666599</v>
      </c>
      <c r="B1169" s="4">
        <f ca="1">IFERROR(__xludf.DUMMYFUNCTION("""COMPUTED_VALUE"""),535.7)</f>
        <v>535.70000000000005</v>
      </c>
      <c r="C1169" s="5">
        <f t="shared" ca="1" si="0"/>
        <v>-4.6930956221674916E-3</v>
      </c>
    </row>
    <row r="1170" spans="1:3" ht="13" x14ac:dyDescent="0.15">
      <c r="A1170" s="3">
        <f ca="1">IFERROR(__xludf.DUMMYFUNCTION("""COMPUTED_VALUE"""),42136.6666666666)</f>
        <v>42136.666666666599</v>
      </c>
      <c r="B1170" s="4">
        <f ca="1">IFERROR(__xludf.DUMMYFUNCTION("""COMPUTED_VALUE"""),529.04)</f>
        <v>529.04</v>
      </c>
      <c r="C1170" s="5">
        <f t="shared" ca="1" si="0"/>
        <v>-1.2510259520507884E-2</v>
      </c>
    </row>
    <row r="1171" spans="1:3" ht="13" x14ac:dyDescent="0.15">
      <c r="A1171" s="3">
        <f ca="1">IFERROR(__xludf.DUMMYFUNCTION("""COMPUTED_VALUE"""),42137.6666666666)</f>
        <v>42137.666666666599</v>
      </c>
      <c r="B1171" s="4">
        <f ca="1">IFERROR(__xludf.DUMMYFUNCTION("""COMPUTED_VALUE"""),529.62)</f>
        <v>529.62</v>
      </c>
      <c r="C1171" s="5">
        <f t="shared" ca="1" si="0"/>
        <v>1.0957248937896763E-3</v>
      </c>
    </row>
    <row r="1172" spans="1:3" ht="13" x14ac:dyDescent="0.15">
      <c r="A1172" s="3">
        <f ca="1">IFERROR(__xludf.DUMMYFUNCTION("""COMPUTED_VALUE"""),42138.6666666666)</f>
        <v>42138.666666666599</v>
      </c>
      <c r="B1172" s="4">
        <f ca="1">IFERROR(__xludf.DUMMYFUNCTION("""COMPUTED_VALUE"""),538.4)</f>
        <v>538.4</v>
      </c>
      <c r="C1172" s="5">
        <f t="shared" ca="1" si="0"/>
        <v>1.6442010070321495E-2</v>
      </c>
    </row>
    <row r="1173" spans="1:3" ht="13" x14ac:dyDescent="0.15">
      <c r="A1173" s="3">
        <f ca="1">IFERROR(__xludf.DUMMYFUNCTION("""COMPUTED_VALUE"""),42139.6666666666)</f>
        <v>42139.666666666599</v>
      </c>
      <c r="B1173" s="4">
        <f ca="1">IFERROR(__xludf.DUMMYFUNCTION("""COMPUTED_VALUE"""),533.85)</f>
        <v>533.85</v>
      </c>
      <c r="C1173" s="5">
        <f t="shared" ca="1" si="0"/>
        <v>-8.4868777062066456E-3</v>
      </c>
    </row>
    <row r="1174" spans="1:3" ht="13" x14ac:dyDescent="0.15">
      <c r="A1174" s="3">
        <f ca="1">IFERROR(__xludf.DUMMYFUNCTION("""COMPUTED_VALUE"""),42142.6666666666)</f>
        <v>42142.666666666599</v>
      </c>
      <c r="B1174" s="4">
        <f ca="1">IFERROR(__xludf.DUMMYFUNCTION("""COMPUTED_VALUE"""),532.3)</f>
        <v>532.29999999999995</v>
      </c>
      <c r="C1174" s="5">
        <f t="shared" ca="1" si="0"/>
        <v>-2.9076604455997531E-3</v>
      </c>
    </row>
    <row r="1175" spans="1:3" ht="13" x14ac:dyDescent="0.15">
      <c r="A1175" s="3">
        <f ca="1">IFERROR(__xludf.DUMMYFUNCTION("""COMPUTED_VALUE"""),42143.6666666666)</f>
        <v>42143.666666666599</v>
      </c>
      <c r="B1175" s="4">
        <f ca="1">IFERROR(__xludf.DUMMYFUNCTION("""COMPUTED_VALUE"""),537.36)</f>
        <v>537.36</v>
      </c>
      <c r="C1175" s="5">
        <f t="shared" ca="1" si="0"/>
        <v>9.4610207798975221E-3</v>
      </c>
    </row>
    <row r="1176" spans="1:3" ht="13" x14ac:dyDescent="0.15">
      <c r="A1176" s="3">
        <f ca="1">IFERROR(__xludf.DUMMYFUNCTION("""COMPUTED_VALUE"""),42144.6666666666)</f>
        <v>42144.666666666599</v>
      </c>
      <c r="B1176" s="4">
        <f ca="1">IFERROR(__xludf.DUMMYFUNCTION("""COMPUTED_VALUE"""),539.27)</f>
        <v>539.27</v>
      </c>
      <c r="C1176" s="5">
        <f t="shared" ca="1" si="0"/>
        <v>3.548112171803822E-3</v>
      </c>
    </row>
    <row r="1177" spans="1:3" ht="13" x14ac:dyDescent="0.15">
      <c r="A1177" s="3">
        <f ca="1">IFERROR(__xludf.DUMMYFUNCTION("""COMPUTED_VALUE"""),42145.6666666666)</f>
        <v>42145.666666666599</v>
      </c>
      <c r="B1177" s="4">
        <f ca="1">IFERROR(__xludf.DUMMYFUNCTION("""COMPUTED_VALUE"""),542.51)</f>
        <v>542.51</v>
      </c>
      <c r="C1177" s="5">
        <f t="shared" ca="1" si="0"/>
        <v>5.990145294036151E-3</v>
      </c>
    </row>
    <row r="1178" spans="1:3" ht="13" x14ac:dyDescent="0.15">
      <c r="A1178" s="3">
        <f ca="1">IFERROR(__xludf.DUMMYFUNCTION("""COMPUTED_VALUE"""),42146.6666666666)</f>
        <v>42146.666666666599</v>
      </c>
      <c r="B1178" s="4">
        <f ca="1">IFERROR(__xludf.DUMMYFUNCTION("""COMPUTED_VALUE"""),540.11)</f>
        <v>540.11</v>
      </c>
      <c r="C1178" s="5">
        <f t="shared" ca="1" si="0"/>
        <v>-4.4336959072076255E-3</v>
      </c>
    </row>
    <row r="1179" spans="1:3" ht="13" x14ac:dyDescent="0.15">
      <c r="A1179" s="3">
        <f ca="1">IFERROR(__xludf.DUMMYFUNCTION("""COMPUTED_VALUE"""),42150.6666666666)</f>
        <v>42150.666666666599</v>
      </c>
      <c r="B1179" s="4">
        <f ca="1">IFERROR(__xludf.DUMMYFUNCTION("""COMPUTED_VALUE"""),532.32)</f>
        <v>532.32000000000005</v>
      </c>
      <c r="C1179" s="5">
        <f t="shared" ca="1" si="0"/>
        <v>-1.4528010247074834E-2</v>
      </c>
    </row>
    <row r="1180" spans="1:3" ht="13" x14ac:dyDescent="0.15">
      <c r="A1180" s="3">
        <f ca="1">IFERROR(__xludf.DUMMYFUNCTION("""COMPUTED_VALUE"""),42151.6666666666)</f>
        <v>42151.666666666599</v>
      </c>
      <c r="B1180" s="4">
        <f ca="1">IFERROR(__xludf.DUMMYFUNCTION("""COMPUTED_VALUE"""),539.79)</f>
        <v>539.79</v>
      </c>
      <c r="C1180" s="5">
        <f t="shared" ca="1" si="0"/>
        <v>1.3935362762370299E-2</v>
      </c>
    </row>
    <row r="1181" spans="1:3" ht="13" x14ac:dyDescent="0.15">
      <c r="A1181" s="3">
        <f ca="1">IFERROR(__xludf.DUMMYFUNCTION("""COMPUTED_VALUE"""),42152.6666666666)</f>
        <v>42152.666666666599</v>
      </c>
      <c r="B1181" s="4">
        <f ca="1">IFERROR(__xludf.DUMMYFUNCTION("""COMPUTED_VALUE"""),539.78)</f>
        <v>539.78</v>
      </c>
      <c r="C1181" s="5">
        <f t="shared" ca="1" si="0"/>
        <v>-1.8525894569670015E-5</v>
      </c>
    </row>
    <row r="1182" spans="1:3" ht="13" x14ac:dyDescent="0.15">
      <c r="A1182" s="3">
        <f ca="1">IFERROR(__xludf.DUMMYFUNCTION("""COMPUTED_VALUE"""),42153.6666666666)</f>
        <v>42153.666666666599</v>
      </c>
      <c r="B1182" s="4">
        <f ca="1">IFERROR(__xludf.DUMMYFUNCTION("""COMPUTED_VALUE"""),532.11)</f>
        <v>532.11</v>
      </c>
      <c r="C1182" s="5">
        <f t="shared" ca="1" si="0"/>
        <v>-1.4311414252362521E-2</v>
      </c>
    </row>
    <row r="1183" spans="1:3" ht="13" x14ac:dyDescent="0.15">
      <c r="A1183" s="3">
        <f ca="1">IFERROR(__xludf.DUMMYFUNCTION("""COMPUTED_VALUE"""),42156.6666666666)</f>
        <v>42156.666666666599</v>
      </c>
      <c r="B1183" s="4">
        <f ca="1">IFERROR(__xludf.DUMMYFUNCTION("""COMPUTED_VALUE"""),533.99)</f>
        <v>533.99</v>
      </c>
      <c r="C1183" s="5">
        <f t="shared" ca="1" si="0"/>
        <v>3.5268773074850659E-3</v>
      </c>
    </row>
    <row r="1184" spans="1:3" ht="13" x14ac:dyDescent="0.15">
      <c r="A1184" s="3">
        <f ca="1">IFERROR(__xludf.DUMMYFUNCTION("""COMPUTED_VALUE"""),42157.6666666666)</f>
        <v>42157.666666666599</v>
      </c>
      <c r="B1184" s="4">
        <f ca="1">IFERROR(__xludf.DUMMYFUNCTION("""COMPUTED_VALUE"""),539.18)</f>
        <v>539.17999999999995</v>
      </c>
      <c r="C1184" s="5">
        <f t="shared" ca="1" si="0"/>
        <v>9.6723547289521671E-3</v>
      </c>
    </row>
    <row r="1185" spans="1:3" ht="13" x14ac:dyDescent="0.15">
      <c r="A1185" s="3">
        <f ca="1">IFERROR(__xludf.DUMMYFUNCTION("""COMPUTED_VALUE"""),42158.6666666666)</f>
        <v>42158.666666666599</v>
      </c>
      <c r="B1185" s="4">
        <f ca="1">IFERROR(__xludf.DUMMYFUNCTION("""COMPUTED_VALUE"""),540.31)</f>
        <v>540.30999999999995</v>
      </c>
      <c r="C1185" s="5">
        <f t="shared" ca="1" si="0"/>
        <v>2.0935819928680562E-3</v>
      </c>
    </row>
    <row r="1186" spans="1:3" ht="13" x14ac:dyDescent="0.15">
      <c r="A1186" s="3">
        <f ca="1">IFERROR(__xludf.DUMMYFUNCTION("""COMPUTED_VALUE"""),42159.6666666666)</f>
        <v>42159.666666666599</v>
      </c>
      <c r="B1186" s="4">
        <f ca="1">IFERROR(__xludf.DUMMYFUNCTION("""COMPUTED_VALUE"""),536.7)</f>
        <v>536.70000000000005</v>
      </c>
      <c r="C1186" s="5">
        <f t="shared" ca="1" si="0"/>
        <v>-6.7037697321264888E-3</v>
      </c>
    </row>
    <row r="1187" spans="1:3" ht="13" x14ac:dyDescent="0.15">
      <c r="A1187" s="3">
        <f ca="1">IFERROR(__xludf.DUMMYFUNCTION("""COMPUTED_VALUE"""),42160.6666666666)</f>
        <v>42160.666666666599</v>
      </c>
      <c r="B1187" s="4">
        <f ca="1">IFERROR(__xludf.DUMMYFUNCTION("""COMPUTED_VALUE"""),533.33)</f>
        <v>533.33000000000004</v>
      </c>
      <c r="C1187" s="5">
        <f t="shared" ca="1" si="0"/>
        <v>-6.2989096425516032E-3</v>
      </c>
    </row>
    <row r="1188" spans="1:3" ht="13" x14ac:dyDescent="0.15">
      <c r="A1188" s="3">
        <f ca="1">IFERROR(__xludf.DUMMYFUNCTION("""COMPUTED_VALUE"""),42163.6666666666)</f>
        <v>42163.666666666599</v>
      </c>
      <c r="B1188" s="4">
        <f ca="1">IFERROR(__xludf.DUMMYFUNCTION("""COMPUTED_VALUE"""),526.83)</f>
        <v>526.83000000000004</v>
      </c>
      <c r="C1188" s="5">
        <f t="shared" ca="1" si="0"/>
        <v>-1.2262453684358667E-2</v>
      </c>
    </row>
    <row r="1189" spans="1:3" ht="13" x14ac:dyDescent="0.15">
      <c r="A1189" s="3">
        <f ca="1">IFERROR(__xludf.DUMMYFUNCTION("""COMPUTED_VALUE"""),42164.6666666666)</f>
        <v>42164.666666666599</v>
      </c>
      <c r="B1189" s="4">
        <f ca="1">IFERROR(__xludf.DUMMYFUNCTION("""COMPUTED_VALUE"""),526.69)</f>
        <v>526.69000000000005</v>
      </c>
      <c r="C1189" s="5">
        <f t="shared" ca="1" si="0"/>
        <v>-2.6577568688598819E-4</v>
      </c>
    </row>
    <row r="1190" spans="1:3" ht="13" x14ac:dyDescent="0.15">
      <c r="A1190" s="3">
        <f ca="1">IFERROR(__xludf.DUMMYFUNCTION("""COMPUTED_VALUE"""),42165.6666666666)</f>
        <v>42165.666666666599</v>
      </c>
      <c r="B1190" s="4">
        <f ca="1">IFERROR(__xludf.DUMMYFUNCTION("""COMPUTED_VALUE"""),536.69)</f>
        <v>536.69000000000005</v>
      </c>
      <c r="C1190" s="5">
        <f t="shared" ca="1" si="0"/>
        <v>1.8808506457129413E-2</v>
      </c>
    </row>
    <row r="1191" spans="1:3" ht="13" x14ac:dyDescent="0.15">
      <c r="A1191" s="3">
        <f ca="1">IFERROR(__xludf.DUMMYFUNCTION("""COMPUTED_VALUE"""),42166.6666666666)</f>
        <v>42166.666666666599</v>
      </c>
      <c r="B1191" s="4">
        <f ca="1">IFERROR(__xludf.DUMMYFUNCTION("""COMPUTED_VALUE"""),534.61)</f>
        <v>534.61</v>
      </c>
      <c r="C1191" s="5">
        <f t="shared" ca="1" si="0"/>
        <v>-3.8831375219837414E-3</v>
      </c>
    </row>
    <row r="1192" spans="1:3" ht="13" x14ac:dyDescent="0.15">
      <c r="A1192" s="3">
        <f ca="1">IFERROR(__xludf.DUMMYFUNCTION("""COMPUTED_VALUE"""),42167.6666666666)</f>
        <v>42167.666666666599</v>
      </c>
      <c r="B1192" s="4">
        <f ca="1">IFERROR(__xludf.DUMMYFUNCTION("""COMPUTED_VALUE"""),532.33)</f>
        <v>532.33000000000004</v>
      </c>
      <c r="C1192" s="5">
        <f t="shared" ca="1" si="0"/>
        <v>-4.2739113175985803E-3</v>
      </c>
    </row>
    <row r="1193" spans="1:3" ht="13" x14ac:dyDescent="0.15">
      <c r="A1193" s="3">
        <f ca="1">IFERROR(__xludf.DUMMYFUNCTION("""COMPUTED_VALUE"""),42170.6666666666)</f>
        <v>42170.666666666599</v>
      </c>
      <c r="B1193" s="4">
        <f ca="1">IFERROR(__xludf.DUMMYFUNCTION("""COMPUTED_VALUE"""),527.2)</f>
        <v>527.20000000000005</v>
      </c>
      <c r="C1193" s="5">
        <f t="shared" ca="1" si="0"/>
        <v>-9.6836145982365264E-3</v>
      </c>
    </row>
    <row r="1194" spans="1:3" ht="13" x14ac:dyDescent="0.15">
      <c r="A1194" s="3">
        <f ca="1">IFERROR(__xludf.DUMMYFUNCTION("""COMPUTED_VALUE"""),42171.6666666666)</f>
        <v>42171.666666666599</v>
      </c>
      <c r="B1194" s="4">
        <f ca="1">IFERROR(__xludf.DUMMYFUNCTION("""COMPUTED_VALUE"""),528.15)</f>
        <v>528.15</v>
      </c>
      <c r="C1194" s="5">
        <f t="shared" ca="1" si="0"/>
        <v>1.8003510808735916E-3</v>
      </c>
    </row>
    <row r="1195" spans="1:3" ht="13" x14ac:dyDescent="0.15">
      <c r="A1195" s="3">
        <f ca="1">IFERROR(__xludf.DUMMYFUNCTION("""COMPUTED_VALUE"""),42172.6666666666)</f>
        <v>42172.666666666599</v>
      </c>
      <c r="B1195" s="4">
        <f ca="1">IFERROR(__xludf.DUMMYFUNCTION("""COMPUTED_VALUE"""),529.26)</f>
        <v>529.26</v>
      </c>
      <c r="C1195" s="5">
        <f t="shared" ca="1" si="0"/>
        <v>2.0994702295594066E-3</v>
      </c>
    </row>
    <row r="1196" spans="1:3" ht="13" x14ac:dyDescent="0.15">
      <c r="A1196" s="3">
        <f ca="1">IFERROR(__xludf.DUMMYFUNCTION("""COMPUTED_VALUE"""),42173.6666666666)</f>
        <v>42173.666666666599</v>
      </c>
      <c r="B1196" s="4">
        <f ca="1">IFERROR(__xludf.DUMMYFUNCTION("""COMPUTED_VALUE"""),536.73)</f>
        <v>536.73</v>
      </c>
      <c r="C1196" s="5">
        <f t="shared" ca="1" si="0"/>
        <v>1.4015370271110611E-2</v>
      </c>
    </row>
    <row r="1197" spans="1:3" ht="13" x14ac:dyDescent="0.15">
      <c r="A1197" s="3">
        <f ca="1">IFERROR(__xludf.DUMMYFUNCTION("""COMPUTED_VALUE"""),42174.6666666666)</f>
        <v>42174.666666666599</v>
      </c>
      <c r="B1197" s="4">
        <f ca="1">IFERROR(__xludf.DUMMYFUNCTION("""COMPUTED_VALUE"""),536.69)</f>
        <v>536.69000000000005</v>
      </c>
      <c r="C1197" s="5">
        <f t="shared" ca="1" si="0"/>
        <v>-7.4528143724709436E-5</v>
      </c>
    </row>
    <row r="1198" spans="1:3" ht="13" x14ac:dyDescent="0.15">
      <c r="A1198" s="3">
        <f ca="1">IFERROR(__xludf.DUMMYFUNCTION("""COMPUTED_VALUE"""),42177.6666666666)</f>
        <v>42177.666666666599</v>
      </c>
      <c r="B1198" s="4">
        <f ca="1">IFERROR(__xludf.DUMMYFUNCTION("""COMPUTED_VALUE"""),538.19)</f>
        <v>538.19000000000005</v>
      </c>
      <c r="C1198" s="5">
        <f t="shared" ca="1" si="0"/>
        <v>2.7910110407072101E-3</v>
      </c>
    </row>
    <row r="1199" spans="1:3" ht="13" x14ac:dyDescent="0.15">
      <c r="A1199" s="3">
        <f ca="1">IFERROR(__xludf.DUMMYFUNCTION("""COMPUTED_VALUE"""),42178.6666666666)</f>
        <v>42178.666666666599</v>
      </c>
      <c r="B1199" s="4">
        <f ca="1">IFERROR(__xludf.DUMMYFUNCTION("""COMPUTED_VALUE"""),540.48)</f>
        <v>540.48</v>
      </c>
      <c r="C1199" s="5">
        <f t="shared" ca="1" si="0"/>
        <v>4.2459759526115312E-3</v>
      </c>
    </row>
    <row r="1200" spans="1:3" ht="13" x14ac:dyDescent="0.15">
      <c r="A1200" s="3">
        <f ca="1">IFERROR(__xludf.DUMMYFUNCTION("""COMPUTED_VALUE"""),42179.6666666666)</f>
        <v>42179.666666666599</v>
      </c>
      <c r="B1200" s="4">
        <f ca="1">IFERROR(__xludf.DUMMYFUNCTION("""COMPUTED_VALUE"""),537.84)</f>
        <v>537.84</v>
      </c>
      <c r="C1200" s="5">
        <f t="shared" ca="1" si="0"/>
        <v>-4.8965154586540164E-3</v>
      </c>
    </row>
    <row r="1201" spans="1:3" ht="13" x14ac:dyDescent="0.15">
      <c r="A1201" s="3">
        <f ca="1">IFERROR(__xludf.DUMMYFUNCTION("""COMPUTED_VALUE"""),42180.6666666666)</f>
        <v>42180.666666666599</v>
      </c>
      <c r="B1201" s="4">
        <f ca="1">IFERROR(__xludf.DUMMYFUNCTION("""COMPUTED_VALUE"""),535.23)</f>
        <v>535.23</v>
      </c>
      <c r="C1201" s="5">
        <f t="shared" ca="1" si="0"/>
        <v>-4.8645571060596188E-3</v>
      </c>
    </row>
    <row r="1202" spans="1:3" ht="13" x14ac:dyDescent="0.15">
      <c r="A1202" s="3">
        <f ca="1">IFERROR(__xludf.DUMMYFUNCTION("""COMPUTED_VALUE"""),42181.6666666666)</f>
        <v>42181.666666666599</v>
      </c>
      <c r="B1202" s="4">
        <f ca="1">IFERROR(__xludf.DUMMYFUNCTION("""COMPUTED_VALUE"""),531.69)</f>
        <v>531.69000000000005</v>
      </c>
      <c r="C1202" s="5">
        <f t="shared" ca="1" si="0"/>
        <v>-6.6359483195636065E-3</v>
      </c>
    </row>
    <row r="1203" spans="1:3" ht="13" x14ac:dyDescent="0.15">
      <c r="A1203" s="3">
        <f ca="1">IFERROR(__xludf.DUMMYFUNCTION("""COMPUTED_VALUE"""),42184.6666666666)</f>
        <v>42184.666666666599</v>
      </c>
      <c r="B1203" s="4">
        <f ca="1">IFERROR(__xludf.DUMMYFUNCTION("""COMPUTED_VALUE"""),521.52)</f>
        <v>521.52</v>
      </c>
      <c r="C1203" s="5">
        <f t="shared" ca="1" si="0"/>
        <v>-1.9312988118874254E-2</v>
      </c>
    </row>
    <row r="1204" spans="1:3" ht="13" x14ac:dyDescent="0.15">
      <c r="A1204" s="3">
        <f ca="1">IFERROR(__xludf.DUMMYFUNCTION("""COMPUTED_VALUE"""),42185.6666666666)</f>
        <v>42185.666666666599</v>
      </c>
      <c r="B1204" s="4">
        <f ca="1">IFERROR(__xludf.DUMMYFUNCTION("""COMPUTED_VALUE"""),520.51)</f>
        <v>520.51</v>
      </c>
      <c r="C1204" s="5">
        <f t="shared" ca="1" si="0"/>
        <v>-1.9385244499446825E-3</v>
      </c>
    </row>
    <row r="1205" spans="1:3" ht="13" x14ac:dyDescent="0.15">
      <c r="A1205" s="3">
        <f ca="1">IFERROR(__xludf.DUMMYFUNCTION("""COMPUTED_VALUE"""),42186.6666666666)</f>
        <v>42186.666666666599</v>
      </c>
      <c r="B1205" s="4">
        <f ca="1">IFERROR(__xludf.DUMMYFUNCTION("""COMPUTED_VALUE"""),521.84)</f>
        <v>521.84</v>
      </c>
      <c r="C1205" s="5">
        <f t="shared" ca="1" si="0"/>
        <v>2.5519273215014668E-3</v>
      </c>
    </row>
    <row r="1206" spans="1:3" ht="13" x14ac:dyDescent="0.15">
      <c r="A1206" s="3">
        <f ca="1">IFERROR(__xludf.DUMMYFUNCTION("""COMPUTED_VALUE"""),42187.6666666666)</f>
        <v>42187.666666666599</v>
      </c>
      <c r="B1206" s="4">
        <f ca="1">IFERROR(__xludf.DUMMYFUNCTION("""COMPUTED_VALUE"""),523.4)</f>
        <v>523.4</v>
      </c>
      <c r="C1206" s="5">
        <f t="shared" ca="1" si="0"/>
        <v>2.9849626082048839E-3</v>
      </c>
    </row>
    <row r="1207" spans="1:3" ht="13" x14ac:dyDescent="0.15">
      <c r="A1207" s="3">
        <f ca="1">IFERROR(__xludf.DUMMYFUNCTION("""COMPUTED_VALUE"""),42191.6666666666)</f>
        <v>42191.666666666599</v>
      </c>
      <c r="B1207" s="4">
        <f ca="1">IFERROR(__xludf.DUMMYFUNCTION("""COMPUTED_VALUE"""),522.86)</f>
        <v>522.86</v>
      </c>
      <c r="C1207" s="5">
        <f t="shared" ca="1" si="0"/>
        <v>-1.032248290002736E-3</v>
      </c>
    </row>
    <row r="1208" spans="1:3" ht="13" x14ac:dyDescent="0.15">
      <c r="A1208" s="3">
        <f ca="1">IFERROR(__xludf.DUMMYFUNCTION("""COMPUTED_VALUE"""),42192.6666666666)</f>
        <v>42192.666666666599</v>
      </c>
      <c r="B1208" s="4">
        <f ca="1">IFERROR(__xludf.DUMMYFUNCTION("""COMPUTED_VALUE"""),525.02)</f>
        <v>525.02</v>
      </c>
      <c r="C1208" s="5">
        <f t="shared" ca="1" si="0"/>
        <v>4.1226152980709876E-3</v>
      </c>
    </row>
    <row r="1209" spans="1:3" ht="13" x14ac:dyDescent="0.15">
      <c r="A1209" s="3">
        <f ca="1">IFERROR(__xludf.DUMMYFUNCTION("""COMPUTED_VALUE"""),42193.6666666666)</f>
        <v>42193.666666666599</v>
      </c>
      <c r="B1209" s="4">
        <f ca="1">IFERROR(__xludf.DUMMYFUNCTION("""COMPUTED_VALUE"""),516.83)</f>
        <v>516.83000000000004</v>
      </c>
      <c r="C1209" s="5">
        <f t="shared" ca="1" si="0"/>
        <v>-1.5722356784927002E-2</v>
      </c>
    </row>
    <row r="1210" spans="1:3" ht="13" x14ac:dyDescent="0.15">
      <c r="A1210" s="3">
        <f ca="1">IFERROR(__xludf.DUMMYFUNCTION("""COMPUTED_VALUE"""),42194.6666666666)</f>
        <v>42194.666666666599</v>
      </c>
      <c r="B1210" s="4">
        <f ca="1">IFERROR(__xludf.DUMMYFUNCTION("""COMPUTED_VALUE"""),520.68)</f>
        <v>520.67999999999995</v>
      </c>
      <c r="C1210" s="5">
        <f t="shared" ca="1" si="0"/>
        <v>7.421649279072691E-3</v>
      </c>
    </row>
    <row r="1211" spans="1:3" ht="13" x14ac:dyDescent="0.15">
      <c r="A1211" s="3">
        <f ca="1">IFERROR(__xludf.DUMMYFUNCTION("""COMPUTED_VALUE"""),42195.6666666666)</f>
        <v>42195.666666666599</v>
      </c>
      <c r="B1211" s="4">
        <f ca="1">IFERROR(__xludf.DUMMYFUNCTION("""COMPUTED_VALUE"""),530.13)</f>
        <v>530.13</v>
      </c>
      <c r="C1211" s="5">
        <f t="shared" ca="1" si="0"/>
        <v>1.7986609889814431E-2</v>
      </c>
    </row>
    <row r="1212" spans="1:3" ht="13" x14ac:dyDescent="0.15">
      <c r="A1212" s="3">
        <f ca="1">IFERROR(__xludf.DUMMYFUNCTION("""COMPUTED_VALUE"""),42198.6666666666)</f>
        <v>42198.666666666599</v>
      </c>
      <c r="B1212" s="4">
        <f ca="1">IFERROR(__xludf.DUMMYFUNCTION("""COMPUTED_VALUE"""),546.55)</f>
        <v>546.54999999999995</v>
      </c>
      <c r="C1212" s="5">
        <f t="shared" ca="1" si="0"/>
        <v>3.0503535251770398E-2</v>
      </c>
    </row>
    <row r="1213" spans="1:3" ht="13" x14ac:dyDescent="0.15">
      <c r="A1213" s="3">
        <f ca="1">IFERROR(__xludf.DUMMYFUNCTION("""COMPUTED_VALUE"""),42199.6666666666)</f>
        <v>42199.666666666599</v>
      </c>
      <c r="B1213" s="4">
        <f ca="1">IFERROR(__xludf.DUMMYFUNCTION("""COMPUTED_VALUE"""),561.1)</f>
        <v>561.1</v>
      </c>
      <c r="C1213" s="5">
        <f t="shared" ca="1" si="0"/>
        <v>2.6273348017082067E-2</v>
      </c>
    </row>
    <row r="1214" spans="1:3" ht="13" x14ac:dyDescent="0.15">
      <c r="A1214" s="3">
        <f ca="1">IFERROR(__xludf.DUMMYFUNCTION("""COMPUTED_VALUE"""),42200.6666666666)</f>
        <v>42200.666666666599</v>
      </c>
      <c r="B1214" s="4">
        <f ca="1">IFERROR(__xludf.DUMMYFUNCTION("""COMPUTED_VALUE"""),560.22)</f>
        <v>560.22</v>
      </c>
      <c r="C1214" s="5">
        <f t="shared" ca="1" si="0"/>
        <v>-1.5695790330368204E-3</v>
      </c>
    </row>
    <row r="1215" spans="1:3" ht="13" x14ac:dyDescent="0.15">
      <c r="A1215" s="3">
        <f ca="1">IFERROR(__xludf.DUMMYFUNCTION("""COMPUTED_VALUE"""),42201.6666666666)</f>
        <v>42201.666666666599</v>
      </c>
      <c r="B1215" s="4">
        <f ca="1">IFERROR(__xludf.DUMMYFUNCTION("""COMPUTED_VALUE"""),579.85)</f>
        <v>579.85</v>
      </c>
      <c r="C1215" s="5">
        <f t="shared" ca="1" si="0"/>
        <v>3.4439885678822758E-2</v>
      </c>
    </row>
    <row r="1216" spans="1:3" ht="13" x14ac:dyDescent="0.15">
      <c r="A1216" s="3">
        <f ca="1">IFERROR(__xludf.DUMMYFUNCTION("""COMPUTED_VALUE"""),42202.6666666666)</f>
        <v>42202.666666666599</v>
      </c>
      <c r="B1216" s="4">
        <f ca="1">IFERROR(__xludf.DUMMYFUNCTION("""COMPUTED_VALUE"""),672.93)</f>
        <v>672.93</v>
      </c>
      <c r="C1216" s="5">
        <f t="shared" ca="1" si="0"/>
        <v>0.14887186294533111</v>
      </c>
    </row>
    <row r="1217" spans="1:3" ht="13" x14ac:dyDescent="0.15">
      <c r="A1217" s="3">
        <f ca="1">IFERROR(__xludf.DUMMYFUNCTION("""COMPUTED_VALUE"""),42205.6666666666)</f>
        <v>42205.666666666599</v>
      </c>
      <c r="B1217" s="4">
        <f ca="1">IFERROR(__xludf.DUMMYFUNCTION("""COMPUTED_VALUE"""),663.02)</f>
        <v>663.02</v>
      </c>
      <c r="C1217" s="5">
        <f t="shared" ca="1" si="0"/>
        <v>-1.4836156704644147E-2</v>
      </c>
    </row>
    <row r="1218" spans="1:3" ht="13" x14ac:dyDescent="0.15">
      <c r="A1218" s="3">
        <f ca="1">IFERROR(__xludf.DUMMYFUNCTION("""COMPUTED_VALUE"""),42206.6666666666)</f>
        <v>42206.666666666599</v>
      </c>
      <c r="B1218" s="4">
        <f ca="1">IFERROR(__xludf.DUMMYFUNCTION("""COMPUTED_VALUE"""),662.3)</f>
        <v>662.3</v>
      </c>
      <c r="C1218" s="5">
        <f t="shared" ca="1" si="0"/>
        <v>-1.0865301524657124E-3</v>
      </c>
    </row>
    <row r="1219" spans="1:3" ht="13" x14ac:dyDescent="0.15">
      <c r="A1219" s="3">
        <f ca="1">IFERROR(__xludf.DUMMYFUNCTION("""COMPUTED_VALUE"""),42207.6666666666)</f>
        <v>42207.666666666599</v>
      </c>
      <c r="B1219" s="4">
        <f ca="1">IFERROR(__xludf.DUMMYFUNCTION("""COMPUTED_VALUE"""),662.1)</f>
        <v>662.1</v>
      </c>
      <c r="C1219" s="5">
        <f t="shared" ca="1" si="0"/>
        <v>-3.0202356013326486E-4</v>
      </c>
    </row>
    <row r="1220" spans="1:3" ht="13" x14ac:dyDescent="0.15">
      <c r="A1220" s="3">
        <f ca="1">IFERROR(__xludf.DUMMYFUNCTION("""COMPUTED_VALUE"""),42208.6666666666)</f>
        <v>42208.666666666599</v>
      </c>
      <c r="B1220" s="4">
        <f ca="1">IFERROR(__xludf.DUMMYFUNCTION("""COMPUTED_VALUE"""),644.28)</f>
        <v>644.28</v>
      </c>
      <c r="C1220" s="5">
        <f t="shared" ca="1" si="0"/>
        <v>-2.7283187708321999E-2</v>
      </c>
    </row>
    <row r="1221" spans="1:3" ht="13" x14ac:dyDescent="0.15">
      <c r="A1221" s="3">
        <f ca="1">IFERROR(__xludf.DUMMYFUNCTION("""COMPUTED_VALUE"""),42209.6666666666)</f>
        <v>42209.666666666599</v>
      </c>
      <c r="B1221" s="4">
        <f ca="1">IFERROR(__xludf.DUMMYFUNCTION("""COMPUTED_VALUE"""),623.56)</f>
        <v>623.55999999999995</v>
      </c>
      <c r="C1221" s="5">
        <f t="shared" ca="1" si="0"/>
        <v>-3.2688422777998355E-2</v>
      </c>
    </row>
    <row r="1222" spans="1:3" ht="13" x14ac:dyDescent="0.15">
      <c r="A1222" s="3">
        <f ca="1">IFERROR(__xludf.DUMMYFUNCTION("""COMPUTED_VALUE"""),42212.6666666666)</f>
        <v>42212.666666666599</v>
      </c>
      <c r="B1222" s="4">
        <f ca="1">IFERROR(__xludf.DUMMYFUNCTION("""COMPUTED_VALUE"""),627.26)</f>
        <v>627.26</v>
      </c>
      <c r="C1222" s="5">
        <f t="shared" ca="1" si="0"/>
        <v>5.9161362815856964E-3</v>
      </c>
    </row>
    <row r="1223" spans="1:3" ht="13" x14ac:dyDescent="0.15">
      <c r="A1223" s="3">
        <f ca="1">IFERROR(__xludf.DUMMYFUNCTION("""COMPUTED_VALUE"""),42213.6666666666)</f>
        <v>42213.666666666599</v>
      </c>
      <c r="B1223" s="4">
        <f ca="1">IFERROR(__xludf.DUMMYFUNCTION("""COMPUTED_VALUE"""),628)</f>
        <v>628</v>
      </c>
      <c r="C1223" s="5">
        <f t="shared" ca="1" si="0"/>
        <v>1.1790387421328869E-3</v>
      </c>
    </row>
    <row r="1224" spans="1:3" ht="13" x14ac:dyDescent="0.15">
      <c r="A1224" s="3">
        <f ca="1">IFERROR(__xludf.DUMMYFUNCTION("""COMPUTED_VALUE"""),42214.6666666666)</f>
        <v>42214.666666666599</v>
      </c>
      <c r="B1224" s="4">
        <f ca="1">IFERROR(__xludf.DUMMYFUNCTION("""COMPUTED_VALUE"""),631.93)</f>
        <v>631.92999999999995</v>
      </c>
      <c r="C1224" s="5">
        <f t="shared" ca="1" si="0"/>
        <v>6.2384620507022065E-3</v>
      </c>
    </row>
    <row r="1225" spans="1:3" ht="13" x14ac:dyDescent="0.15">
      <c r="A1225" s="3">
        <f ca="1">IFERROR(__xludf.DUMMYFUNCTION("""COMPUTED_VALUE"""),42215.6666666666)</f>
        <v>42215.666666666599</v>
      </c>
      <c r="B1225" s="4">
        <f ca="1">IFERROR(__xludf.DUMMYFUNCTION("""COMPUTED_VALUE"""),632.59)</f>
        <v>632.59</v>
      </c>
      <c r="C1225" s="5">
        <f t="shared" ca="1" si="0"/>
        <v>1.0438744502769561E-3</v>
      </c>
    </row>
    <row r="1226" spans="1:3" ht="13" x14ac:dyDescent="0.15">
      <c r="A1226" s="3">
        <f ca="1">IFERROR(__xludf.DUMMYFUNCTION("""COMPUTED_VALUE"""),42216.6666666666)</f>
        <v>42216.666666666599</v>
      </c>
      <c r="B1226" s="4">
        <f ca="1">IFERROR(__xludf.DUMMYFUNCTION("""COMPUTED_VALUE"""),625.61)</f>
        <v>625.61</v>
      </c>
      <c r="C1226" s="5">
        <f t="shared" ca="1" si="0"/>
        <v>-1.1095329211098173E-2</v>
      </c>
    </row>
    <row r="1227" spans="1:3" ht="13" x14ac:dyDescent="0.15">
      <c r="A1227" s="3">
        <f ca="1">IFERROR(__xludf.DUMMYFUNCTION("""COMPUTED_VALUE"""),42219.6666666666)</f>
        <v>42219.666666666599</v>
      </c>
      <c r="B1227" s="4">
        <f ca="1">IFERROR(__xludf.DUMMYFUNCTION("""COMPUTED_VALUE"""),631.21)</f>
        <v>631.21</v>
      </c>
      <c r="C1227" s="5">
        <f t="shared" ca="1" si="0"/>
        <v>8.9114384871251933E-3</v>
      </c>
    </row>
    <row r="1228" spans="1:3" ht="13" x14ac:dyDescent="0.15">
      <c r="A1228" s="3">
        <f ca="1">IFERROR(__xludf.DUMMYFUNCTION("""COMPUTED_VALUE"""),42220.6666666666)</f>
        <v>42220.666666666599</v>
      </c>
      <c r="B1228" s="4">
        <f ca="1">IFERROR(__xludf.DUMMYFUNCTION("""COMPUTED_VALUE"""),629.25)</f>
        <v>629.25</v>
      </c>
      <c r="C1228" s="5">
        <f t="shared" ca="1" si="0"/>
        <v>-3.1099782297796196E-3</v>
      </c>
    </row>
    <row r="1229" spans="1:3" ht="13" x14ac:dyDescent="0.15">
      <c r="A1229" s="3">
        <f ca="1">IFERROR(__xludf.DUMMYFUNCTION("""COMPUTED_VALUE"""),42221.6666666666)</f>
        <v>42221.666666666599</v>
      </c>
      <c r="B1229" s="4">
        <f ca="1">IFERROR(__xludf.DUMMYFUNCTION("""COMPUTED_VALUE"""),643.78)</f>
        <v>643.78</v>
      </c>
      <c r="C1229" s="5">
        <f t="shared" ca="1" si="0"/>
        <v>2.2828418818431534E-2</v>
      </c>
    </row>
    <row r="1230" spans="1:3" ht="13" x14ac:dyDescent="0.15">
      <c r="A1230" s="3">
        <f ca="1">IFERROR(__xludf.DUMMYFUNCTION("""COMPUTED_VALUE"""),42222.6666666666)</f>
        <v>42222.666666666599</v>
      </c>
      <c r="B1230" s="4">
        <f ca="1">IFERROR(__xludf.DUMMYFUNCTION("""COMPUTED_VALUE"""),642.68)</f>
        <v>642.67999999999995</v>
      </c>
      <c r="C1230" s="5">
        <f t="shared" ca="1" si="0"/>
        <v>-1.7101196587224119E-3</v>
      </c>
    </row>
    <row r="1231" spans="1:3" ht="13" x14ac:dyDescent="0.15">
      <c r="A1231" s="3">
        <f ca="1">IFERROR(__xludf.DUMMYFUNCTION("""COMPUTED_VALUE"""),42223.6666666666)</f>
        <v>42223.666666666599</v>
      </c>
      <c r="B1231" s="4">
        <f ca="1">IFERROR(__xludf.DUMMYFUNCTION("""COMPUTED_VALUE"""),635.3)</f>
        <v>635.29999999999995</v>
      </c>
      <c r="C1231" s="5">
        <f t="shared" ca="1" si="0"/>
        <v>-1.1549604902646709E-2</v>
      </c>
    </row>
    <row r="1232" spans="1:3" ht="13" x14ac:dyDescent="0.15">
      <c r="A1232" s="3">
        <f ca="1">IFERROR(__xludf.DUMMYFUNCTION("""COMPUTED_VALUE"""),42226.6666666666)</f>
        <v>42226.666666666599</v>
      </c>
      <c r="B1232" s="4">
        <f ca="1">IFERROR(__xludf.DUMMYFUNCTION("""COMPUTED_VALUE"""),633.73)</f>
        <v>633.73</v>
      </c>
      <c r="C1232" s="5">
        <f t="shared" ca="1" si="0"/>
        <v>-2.474332050468939E-3</v>
      </c>
    </row>
    <row r="1233" spans="1:3" ht="13" x14ac:dyDescent="0.15">
      <c r="A1233" s="3">
        <f ca="1">IFERROR(__xludf.DUMMYFUNCTION("""COMPUTED_VALUE"""),42227.6666666666)</f>
        <v>42227.666666666599</v>
      </c>
      <c r="B1233" s="4">
        <f ca="1">IFERROR(__xludf.DUMMYFUNCTION("""COMPUTED_VALUE"""),660.78)</f>
        <v>660.78</v>
      </c>
      <c r="C1233" s="5">
        <f t="shared" ca="1" si="0"/>
        <v>4.1797959182888901E-2</v>
      </c>
    </row>
    <row r="1234" spans="1:3" ht="13" x14ac:dyDescent="0.15">
      <c r="A1234" s="3">
        <f ca="1">IFERROR(__xludf.DUMMYFUNCTION("""COMPUTED_VALUE"""),42228.6666666666)</f>
        <v>42228.666666666599</v>
      </c>
      <c r="B1234" s="4">
        <f ca="1">IFERROR(__xludf.DUMMYFUNCTION("""COMPUTED_VALUE"""),659.56)</f>
        <v>659.56</v>
      </c>
      <c r="C1234" s="5">
        <f t="shared" ca="1" si="0"/>
        <v>-1.8480093721401287E-3</v>
      </c>
    </row>
    <row r="1235" spans="1:3" ht="13" x14ac:dyDescent="0.15">
      <c r="A1235" s="3">
        <f ca="1">IFERROR(__xludf.DUMMYFUNCTION("""COMPUTED_VALUE"""),42229.6666666666)</f>
        <v>42229.666666666599</v>
      </c>
      <c r="B1235" s="4">
        <f ca="1">IFERROR(__xludf.DUMMYFUNCTION("""COMPUTED_VALUE"""),656.45)</f>
        <v>656.45</v>
      </c>
      <c r="C1235" s="5">
        <f t="shared" ca="1" si="0"/>
        <v>-4.7264166526480291E-3</v>
      </c>
    </row>
    <row r="1236" spans="1:3" ht="13" x14ac:dyDescent="0.15">
      <c r="A1236" s="3">
        <f ca="1">IFERROR(__xludf.DUMMYFUNCTION("""COMPUTED_VALUE"""),42230.6666666666)</f>
        <v>42230.666666666599</v>
      </c>
      <c r="B1236" s="4">
        <f ca="1">IFERROR(__xludf.DUMMYFUNCTION("""COMPUTED_VALUE"""),657.12)</f>
        <v>657.12</v>
      </c>
      <c r="C1236" s="5">
        <f t="shared" ca="1" si="0"/>
        <v>1.0201208281291226E-3</v>
      </c>
    </row>
    <row r="1237" spans="1:3" ht="13" x14ac:dyDescent="0.15">
      <c r="A1237" s="3">
        <f ca="1">IFERROR(__xludf.DUMMYFUNCTION("""COMPUTED_VALUE"""),42233.6666666666)</f>
        <v>42233.666666666599</v>
      </c>
      <c r="B1237" s="4">
        <f ca="1">IFERROR(__xludf.DUMMYFUNCTION("""COMPUTED_VALUE"""),660.87)</f>
        <v>660.87</v>
      </c>
      <c r="C1237" s="5">
        <f t="shared" ca="1" si="0"/>
        <v>5.6904985914900822E-3</v>
      </c>
    </row>
    <row r="1238" spans="1:3" ht="13" x14ac:dyDescent="0.15">
      <c r="A1238" s="3">
        <f ca="1">IFERROR(__xludf.DUMMYFUNCTION("""COMPUTED_VALUE"""),42234.6666666666)</f>
        <v>42234.666666666599</v>
      </c>
      <c r="B1238" s="4">
        <f ca="1">IFERROR(__xludf.DUMMYFUNCTION("""COMPUTED_VALUE"""),656.13)</f>
        <v>656.13</v>
      </c>
      <c r="C1238" s="5">
        <f t="shared" ca="1" si="0"/>
        <v>-7.1982087571677809E-3</v>
      </c>
    </row>
    <row r="1239" spans="1:3" ht="13" x14ac:dyDescent="0.15">
      <c r="A1239" s="3">
        <f ca="1">IFERROR(__xludf.DUMMYFUNCTION("""COMPUTED_VALUE"""),42235.6666666666)</f>
        <v>42235.666666666599</v>
      </c>
      <c r="B1239" s="4">
        <f ca="1">IFERROR(__xludf.DUMMYFUNCTION("""COMPUTED_VALUE"""),660.9)</f>
        <v>660.9</v>
      </c>
      <c r="C1239" s="5">
        <f t="shared" ca="1" si="0"/>
        <v>7.2436024338364902E-3</v>
      </c>
    </row>
    <row r="1240" spans="1:3" ht="13" x14ac:dyDescent="0.15">
      <c r="A1240" s="3">
        <f ca="1">IFERROR(__xludf.DUMMYFUNCTION("""COMPUTED_VALUE"""),42236.6666666666)</f>
        <v>42236.666666666599</v>
      </c>
      <c r="B1240" s="4">
        <f ca="1">IFERROR(__xludf.DUMMYFUNCTION("""COMPUTED_VALUE"""),646.83)</f>
        <v>646.83000000000004</v>
      </c>
      <c r="C1240" s="5">
        <f t="shared" ca="1" si="0"/>
        <v>-2.1519033659836411E-2</v>
      </c>
    </row>
    <row r="1241" spans="1:3" ht="13" x14ac:dyDescent="0.15">
      <c r="A1241" s="3">
        <f ca="1">IFERROR(__xludf.DUMMYFUNCTION("""COMPUTED_VALUE"""),42237.6666666666)</f>
        <v>42237.666666666599</v>
      </c>
      <c r="B1241" s="4">
        <f ca="1">IFERROR(__xludf.DUMMYFUNCTION("""COMPUTED_VALUE"""),612.48)</f>
        <v>612.48</v>
      </c>
      <c r="C1241" s="5">
        <f t="shared" ca="1" si="0"/>
        <v>-5.4567219992035933E-2</v>
      </c>
    </row>
    <row r="1242" spans="1:3" ht="13" x14ac:dyDescent="0.15">
      <c r="A1242" s="3">
        <f ca="1">IFERROR(__xludf.DUMMYFUNCTION("""COMPUTED_VALUE"""),42240.6666666666)</f>
        <v>42240.666666666599</v>
      </c>
      <c r="B1242" s="4">
        <f ca="1">IFERROR(__xludf.DUMMYFUNCTION("""COMPUTED_VALUE"""),589.61)</f>
        <v>589.61</v>
      </c>
      <c r="C1242" s="5">
        <f t="shared" ca="1" si="0"/>
        <v>-3.8054987441949066E-2</v>
      </c>
    </row>
    <row r="1243" spans="1:3" ht="13" x14ac:dyDescent="0.15">
      <c r="A1243" s="3">
        <f ca="1">IFERROR(__xludf.DUMMYFUNCTION("""COMPUTED_VALUE"""),42241.6666666666)</f>
        <v>42241.666666666599</v>
      </c>
      <c r="B1243" s="4">
        <f ca="1">IFERROR(__xludf.DUMMYFUNCTION("""COMPUTED_VALUE"""),582.06)</f>
        <v>582.05999999999995</v>
      </c>
      <c r="C1243" s="5">
        <f t="shared" ca="1" si="0"/>
        <v>-1.288776618133858E-2</v>
      </c>
    </row>
    <row r="1244" spans="1:3" ht="13" x14ac:dyDescent="0.15">
      <c r="A1244" s="3">
        <f ca="1">IFERROR(__xludf.DUMMYFUNCTION("""COMPUTED_VALUE"""),42242.6666666666)</f>
        <v>42242.666666666599</v>
      </c>
      <c r="B1244" s="4">
        <f ca="1">IFERROR(__xludf.DUMMYFUNCTION("""COMPUTED_VALUE"""),628.62)</f>
        <v>628.62</v>
      </c>
      <c r="C1244" s="5">
        <f t="shared" ca="1" si="0"/>
        <v>7.6953405391681551E-2</v>
      </c>
    </row>
    <row r="1245" spans="1:3" ht="13" x14ac:dyDescent="0.15">
      <c r="A1245" s="3">
        <f ca="1">IFERROR(__xludf.DUMMYFUNCTION("""COMPUTED_VALUE"""),42243.6666666666)</f>
        <v>42243.666666666599</v>
      </c>
      <c r="B1245" s="4">
        <f ca="1">IFERROR(__xludf.DUMMYFUNCTION("""COMPUTED_VALUE"""),637.61)</f>
        <v>637.61</v>
      </c>
      <c r="C1245" s="5">
        <f t="shared" ca="1" si="0"/>
        <v>1.4199870574390552E-2</v>
      </c>
    </row>
    <row r="1246" spans="1:3" ht="13" x14ac:dyDescent="0.15">
      <c r="A1246" s="3">
        <f ca="1">IFERROR(__xludf.DUMMYFUNCTION("""COMPUTED_VALUE"""),42244.6666666666)</f>
        <v>42244.666666666599</v>
      </c>
      <c r="B1246" s="4">
        <f ca="1">IFERROR(__xludf.DUMMYFUNCTION("""COMPUTED_VALUE"""),630.38)</f>
        <v>630.38</v>
      </c>
      <c r="C1246" s="5">
        <f t="shared" ca="1" si="0"/>
        <v>-1.1403999015251369E-2</v>
      </c>
    </row>
    <row r="1247" spans="1:3" ht="13" x14ac:dyDescent="0.15">
      <c r="A1247" s="3">
        <f ca="1">IFERROR(__xludf.DUMMYFUNCTION("""COMPUTED_VALUE"""),42247.6666666666)</f>
        <v>42247.666666666599</v>
      </c>
      <c r="B1247" s="4">
        <f ca="1">IFERROR(__xludf.DUMMYFUNCTION("""COMPUTED_VALUE"""),618.25)</f>
        <v>618.25</v>
      </c>
      <c r="C1247" s="5">
        <f t="shared" ca="1" si="0"/>
        <v>-1.942990575054231E-2</v>
      </c>
    </row>
    <row r="1248" spans="1:3" ht="13" x14ac:dyDescent="0.15">
      <c r="A1248" s="3">
        <f ca="1">IFERROR(__xludf.DUMMYFUNCTION("""COMPUTED_VALUE"""),42248.6666666666)</f>
        <v>42248.666666666599</v>
      </c>
      <c r="B1248" s="4">
        <f ca="1">IFERROR(__xludf.DUMMYFUNCTION("""COMPUTED_VALUE"""),597.79)</f>
        <v>597.79</v>
      </c>
      <c r="C1248" s="5">
        <f t="shared" ca="1" si="0"/>
        <v>-3.3653384694279261E-2</v>
      </c>
    </row>
    <row r="1249" spans="1:3" ht="13" x14ac:dyDescent="0.15">
      <c r="A1249" s="3">
        <f ca="1">IFERROR(__xludf.DUMMYFUNCTION("""COMPUTED_VALUE"""),42249.6666666666)</f>
        <v>42249.666666666599</v>
      </c>
      <c r="B1249" s="4">
        <f ca="1">IFERROR(__xludf.DUMMYFUNCTION("""COMPUTED_VALUE"""),614.34)</f>
        <v>614.34</v>
      </c>
      <c r="C1249" s="5">
        <f t="shared" ca="1" si="0"/>
        <v>2.7308999107534128E-2</v>
      </c>
    </row>
    <row r="1250" spans="1:3" ht="13" x14ac:dyDescent="0.15">
      <c r="A1250" s="3">
        <f ca="1">IFERROR(__xludf.DUMMYFUNCTION("""COMPUTED_VALUE"""),42250.6666666666)</f>
        <v>42250.666666666599</v>
      </c>
      <c r="B1250" s="4">
        <f ca="1">IFERROR(__xludf.DUMMYFUNCTION("""COMPUTED_VALUE"""),606.25)</f>
        <v>606.25</v>
      </c>
      <c r="C1250" s="5">
        <f t="shared" ca="1" si="0"/>
        <v>-1.3256078563087428E-2</v>
      </c>
    </row>
    <row r="1251" spans="1:3" ht="13" x14ac:dyDescent="0.15">
      <c r="A1251" s="3">
        <f ca="1">IFERROR(__xludf.DUMMYFUNCTION("""COMPUTED_VALUE"""),42251.6666666666)</f>
        <v>42251.666666666599</v>
      </c>
      <c r="B1251" s="4">
        <f ca="1">IFERROR(__xludf.DUMMYFUNCTION("""COMPUTED_VALUE"""),600.7)</f>
        <v>600.70000000000005</v>
      </c>
      <c r="C1251" s="5">
        <f t="shared" ca="1" si="0"/>
        <v>-9.1968003955770813E-3</v>
      </c>
    </row>
    <row r="1252" spans="1:3" ht="13" x14ac:dyDescent="0.15">
      <c r="A1252" s="3">
        <f ca="1">IFERROR(__xludf.DUMMYFUNCTION("""COMPUTED_VALUE"""),42255.6666666666)</f>
        <v>42255.666666666599</v>
      </c>
      <c r="B1252" s="4">
        <f ca="1">IFERROR(__xludf.DUMMYFUNCTION("""COMPUTED_VALUE"""),614.66)</f>
        <v>614.66</v>
      </c>
      <c r="C1252" s="5">
        <f t="shared" ca="1" si="0"/>
        <v>2.2973627546510583E-2</v>
      </c>
    </row>
    <row r="1253" spans="1:3" ht="13" x14ac:dyDescent="0.15">
      <c r="A1253" s="3">
        <f ca="1">IFERROR(__xludf.DUMMYFUNCTION("""COMPUTED_VALUE"""),42256.6666666666)</f>
        <v>42256.666666666599</v>
      </c>
      <c r="B1253" s="4">
        <f ca="1">IFERROR(__xludf.DUMMYFUNCTION("""COMPUTED_VALUE"""),612.72)</f>
        <v>612.72</v>
      </c>
      <c r="C1253" s="5">
        <f t="shared" ca="1" si="0"/>
        <v>-3.1612078012883287E-3</v>
      </c>
    </row>
    <row r="1254" spans="1:3" ht="13" x14ac:dyDescent="0.15">
      <c r="A1254" s="3">
        <f ca="1">IFERROR(__xludf.DUMMYFUNCTION("""COMPUTED_VALUE"""),42257.6666666666)</f>
        <v>42257.666666666599</v>
      </c>
      <c r="B1254" s="4">
        <f ca="1">IFERROR(__xludf.DUMMYFUNCTION("""COMPUTED_VALUE"""),621.35)</f>
        <v>621.35</v>
      </c>
      <c r="C1254" s="5">
        <f t="shared" ca="1" si="0"/>
        <v>1.3986468650665548E-2</v>
      </c>
    </row>
    <row r="1255" spans="1:3" ht="13" x14ac:dyDescent="0.15">
      <c r="A1255" s="3">
        <f ca="1">IFERROR(__xludf.DUMMYFUNCTION("""COMPUTED_VALUE"""),42258.6666666666)</f>
        <v>42258.666666666599</v>
      </c>
      <c r="B1255" s="4">
        <f ca="1">IFERROR(__xludf.DUMMYFUNCTION("""COMPUTED_VALUE"""),625.77)</f>
        <v>625.77</v>
      </c>
      <c r="C1255" s="5">
        <f t="shared" ca="1" si="0"/>
        <v>7.0883611951421122E-3</v>
      </c>
    </row>
    <row r="1256" spans="1:3" ht="13" x14ac:dyDescent="0.15">
      <c r="A1256" s="3">
        <f ca="1">IFERROR(__xludf.DUMMYFUNCTION("""COMPUTED_VALUE"""),42261.6666666666)</f>
        <v>42261.666666666599</v>
      </c>
      <c r="B1256" s="4">
        <f ca="1">IFERROR(__xludf.DUMMYFUNCTION("""COMPUTED_VALUE"""),623.24)</f>
        <v>623.24</v>
      </c>
      <c r="C1256" s="5">
        <f t="shared" ca="1" si="0"/>
        <v>-4.0512140979919523E-3</v>
      </c>
    </row>
    <row r="1257" spans="1:3" ht="13" x14ac:dyDescent="0.15">
      <c r="A1257" s="3">
        <f ca="1">IFERROR(__xludf.DUMMYFUNCTION("""COMPUTED_VALUE"""),42262.6666666666)</f>
        <v>42262.666666666599</v>
      </c>
      <c r="B1257" s="4">
        <f ca="1">IFERROR(__xludf.DUMMYFUNCTION("""COMPUTED_VALUE"""),635.14)</f>
        <v>635.14</v>
      </c>
      <c r="C1257" s="5">
        <f t="shared" ca="1" si="0"/>
        <v>1.8913769684005776E-2</v>
      </c>
    </row>
    <row r="1258" spans="1:3" ht="13" x14ac:dyDescent="0.15">
      <c r="A1258" s="3">
        <f ca="1">IFERROR(__xludf.DUMMYFUNCTION("""COMPUTED_VALUE"""),42263.6666666666)</f>
        <v>42263.666666666599</v>
      </c>
      <c r="B1258" s="4">
        <f ca="1">IFERROR(__xludf.DUMMYFUNCTION("""COMPUTED_VALUE"""),635.98)</f>
        <v>635.98</v>
      </c>
      <c r="C1258" s="5">
        <f t="shared" ca="1" si="0"/>
        <v>1.3216692716292943E-3</v>
      </c>
    </row>
    <row r="1259" spans="1:3" ht="13" x14ac:dyDescent="0.15">
      <c r="A1259" s="3">
        <f ca="1">IFERROR(__xludf.DUMMYFUNCTION("""COMPUTED_VALUE"""),42264.6666666666)</f>
        <v>42264.666666666599</v>
      </c>
      <c r="B1259" s="4">
        <f ca="1">IFERROR(__xludf.DUMMYFUNCTION("""COMPUTED_VALUE"""),642.9)</f>
        <v>642.9</v>
      </c>
      <c r="C1259" s="5">
        <f t="shared" ca="1" si="0"/>
        <v>1.082207484285205E-2</v>
      </c>
    </row>
    <row r="1260" spans="1:3" ht="13" x14ac:dyDescent="0.15">
      <c r="A1260" s="3">
        <f ca="1">IFERROR(__xludf.DUMMYFUNCTION("""COMPUTED_VALUE"""),42265.6666666666)</f>
        <v>42265.666666666599</v>
      </c>
      <c r="B1260" s="4">
        <f ca="1">IFERROR(__xludf.DUMMYFUNCTION("""COMPUTED_VALUE"""),629.25)</f>
        <v>629.25</v>
      </c>
      <c r="C1260" s="5">
        <f t="shared" ca="1" si="0"/>
        <v>-2.1460557132215764E-2</v>
      </c>
    </row>
    <row r="1261" spans="1:3" ht="13" x14ac:dyDescent="0.15">
      <c r="A1261" s="3">
        <f ca="1">IFERROR(__xludf.DUMMYFUNCTION("""COMPUTED_VALUE"""),42268.6666666666)</f>
        <v>42268.666666666599</v>
      </c>
      <c r="B1261" s="4">
        <f ca="1">IFERROR(__xludf.DUMMYFUNCTION("""COMPUTED_VALUE"""),635.44)</f>
        <v>635.44000000000005</v>
      </c>
      <c r="C1261" s="5">
        <f t="shared" ca="1" si="0"/>
        <v>9.7890383094515303E-3</v>
      </c>
    </row>
    <row r="1262" spans="1:3" ht="13" x14ac:dyDescent="0.15">
      <c r="A1262" s="3">
        <f ca="1">IFERROR(__xludf.DUMMYFUNCTION("""COMPUTED_VALUE"""),42269.6666666666)</f>
        <v>42269.666666666599</v>
      </c>
      <c r="B1262" s="4">
        <f ca="1">IFERROR(__xludf.DUMMYFUNCTION("""COMPUTED_VALUE"""),622.69)</f>
        <v>622.69000000000005</v>
      </c>
      <c r="C1262" s="5">
        <f t="shared" ca="1" si="0"/>
        <v>-2.0268869672897691E-2</v>
      </c>
    </row>
    <row r="1263" spans="1:3" ht="13" x14ac:dyDescent="0.15">
      <c r="A1263" s="3">
        <f ca="1">IFERROR(__xludf.DUMMYFUNCTION("""COMPUTED_VALUE"""),42270.6666666666)</f>
        <v>42270.666666666599</v>
      </c>
      <c r="B1263" s="4">
        <f ca="1">IFERROR(__xludf.DUMMYFUNCTION("""COMPUTED_VALUE"""),622.36)</f>
        <v>622.36</v>
      </c>
      <c r="C1263" s="5">
        <f t="shared" ca="1" si="0"/>
        <v>-5.3009920521696486E-4</v>
      </c>
    </row>
    <row r="1264" spans="1:3" ht="13" x14ac:dyDescent="0.15">
      <c r="A1264" s="3">
        <f ca="1">IFERROR(__xludf.DUMMYFUNCTION("""COMPUTED_VALUE"""),42271.6666666666)</f>
        <v>42271.666666666599</v>
      </c>
      <c r="B1264" s="4">
        <f ca="1">IFERROR(__xludf.DUMMYFUNCTION("""COMPUTED_VALUE"""),625.8)</f>
        <v>625.79999999999995</v>
      </c>
      <c r="C1264" s="5">
        <f t="shared" ca="1" si="0"/>
        <v>5.5121277880195788E-3</v>
      </c>
    </row>
    <row r="1265" spans="1:3" ht="13" x14ac:dyDescent="0.15">
      <c r="A1265" s="3">
        <f ca="1">IFERROR(__xludf.DUMMYFUNCTION("""COMPUTED_VALUE"""),42272.6666666666)</f>
        <v>42272.666666666599</v>
      </c>
      <c r="B1265" s="4">
        <f ca="1">IFERROR(__xludf.DUMMYFUNCTION("""COMPUTED_VALUE"""),611.97)</f>
        <v>611.97</v>
      </c>
      <c r="C1265" s="5">
        <f t="shared" ca="1" si="0"/>
        <v>-2.2347569531798971E-2</v>
      </c>
    </row>
    <row r="1266" spans="1:3" ht="13" x14ac:dyDescent="0.15">
      <c r="A1266" s="3">
        <f ca="1">IFERROR(__xludf.DUMMYFUNCTION("""COMPUTED_VALUE"""),42275.6666666666)</f>
        <v>42275.666666666599</v>
      </c>
      <c r="B1266" s="4">
        <f ca="1">IFERROR(__xludf.DUMMYFUNCTION("""COMPUTED_VALUE"""),594.89)</f>
        <v>594.89</v>
      </c>
      <c r="C1266" s="5">
        <f t="shared" ca="1" si="0"/>
        <v>-2.8306747198228038E-2</v>
      </c>
    </row>
    <row r="1267" spans="1:3" ht="13" x14ac:dyDescent="0.15">
      <c r="A1267" s="3">
        <f ca="1">IFERROR(__xludf.DUMMYFUNCTION("""COMPUTED_VALUE"""),42276.6666666666)</f>
        <v>42276.666666666599</v>
      </c>
      <c r="B1267" s="4">
        <f ca="1">IFERROR(__xludf.DUMMYFUNCTION("""COMPUTED_VALUE"""),594.97)</f>
        <v>594.97</v>
      </c>
      <c r="C1267" s="5">
        <f t="shared" ca="1" si="0"/>
        <v>1.3446960166840996E-4</v>
      </c>
    </row>
    <row r="1268" spans="1:3" ht="13" x14ac:dyDescent="0.15">
      <c r="A1268" s="3">
        <f ca="1">IFERROR(__xludf.DUMMYFUNCTION("""COMPUTED_VALUE"""),42277.6666666666)</f>
        <v>42277.666666666599</v>
      </c>
      <c r="B1268" s="4">
        <f ca="1">IFERROR(__xludf.DUMMYFUNCTION("""COMPUTED_VALUE"""),608.42)</f>
        <v>608.41999999999996</v>
      </c>
      <c r="C1268" s="5">
        <f t="shared" ca="1" si="0"/>
        <v>2.2354448848201879E-2</v>
      </c>
    </row>
    <row r="1269" spans="1:3" ht="13" x14ac:dyDescent="0.15">
      <c r="A1269" s="3">
        <f ca="1">IFERROR(__xludf.DUMMYFUNCTION("""COMPUTED_VALUE"""),42278.6666666666)</f>
        <v>42278.666666666599</v>
      </c>
      <c r="B1269" s="4">
        <f ca="1">IFERROR(__xludf.DUMMYFUNCTION("""COMPUTED_VALUE"""),611.29)</f>
        <v>611.29</v>
      </c>
      <c r="C1269" s="5">
        <f t="shared" ca="1" si="0"/>
        <v>4.7060453661763296E-3</v>
      </c>
    </row>
    <row r="1270" spans="1:3" ht="13" x14ac:dyDescent="0.15">
      <c r="A1270" s="3">
        <f ca="1">IFERROR(__xludf.DUMMYFUNCTION("""COMPUTED_VALUE"""),42279.6666666666)</f>
        <v>42279.666666666599</v>
      </c>
      <c r="B1270" s="4">
        <f ca="1">IFERROR(__xludf.DUMMYFUNCTION("""COMPUTED_VALUE"""),626.91)</f>
        <v>626.91</v>
      </c>
      <c r="C1270" s="5">
        <f t="shared" ca="1" si="0"/>
        <v>2.5231511339314963E-2</v>
      </c>
    </row>
    <row r="1271" spans="1:3" ht="13" x14ac:dyDescent="0.15">
      <c r="A1271" s="3">
        <f ca="1">IFERROR(__xludf.DUMMYFUNCTION("""COMPUTED_VALUE"""),42282.6666666666)</f>
        <v>42282.666666666599</v>
      </c>
      <c r="B1271" s="4">
        <f ca="1">IFERROR(__xludf.DUMMYFUNCTION("""COMPUTED_VALUE"""),641.47)</f>
        <v>641.47</v>
      </c>
      <c r="C1271" s="5">
        <f t="shared" ca="1" si="0"/>
        <v>2.2959427908431019E-2</v>
      </c>
    </row>
    <row r="1272" spans="1:3" ht="13" x14ac:dyDescent="0.15">
      <c r="A1272" s="3">
        <f ca="1">IFERROR(__xludf.DUMMYFUNCTION("""COMPUTED_VALUE"""),42283.6666666666)</f>
        <v>42283.666666666599</v>
      </c>
      <c r="B1272" s="4">
        <f ca="1">IFERROR(__xludf.DUMMYFUNCTION("""COMPUTED_VALUE"""),645.44)</f>
        <v>645.44000000000005</v>
      </c>
      <c r="C1272" s="5">
        <f t="shared" ca="1" si="0"/>
        <v>6.1698371972998094E-3</v>
      </c>
    </row>
    <row r="1273" spans="1:3" ht="13" x14ac:dyDescent="0.15">
      <c r="A1273" s="3">
        <f ca="1">IFERROR(__xludf.DUMMYFUNCTION("""COMPUTED_VALUE"""),42284.6666666666)</f>
        <v>42284.666666666599</v>
      </c>
      <c r="B1273" s="4">
        <f ca="1">IFERROR(__xludf.DUMMYFUNCTION("""COMPUTED_VALUE"""),642.36)</f>
        <v>642.36</v>
      </c>
      <c r="C1273" s="5">
        <f t="shared" ca="1" si="0"/>
        <v>-4.783360572556775E-3</v>
      </c>
    </row>
    <row r="1274" spans="1:3" ht="13" x14ac:dyDescent="0.15">
      <c r="A1274" s="3">
        <f ca="1">IFERROR(__xludf.DUMMYFUNCTION("""COMPUTED_VALUE"""),42285.6666666666)</f>
        <v>42285.666666666599</v>
      </c>
      <c r="B1274" s="4">
        <f ca="1">IFERROR(__xludf.DUMMYFUNCTION("""COMPUTED_VALUE"""),639.16)</f>
        <v>639.16</v>
      </c>
      <c r="C1274" s="5">
        <f t="shared" ca="1" si="0"/>
        <v>-4.9940799221025413E-3</v>
      </c>
    </row>
    <row r="1275" spans="1:3" ht="13" x14ac:dyDescent="0.15">
      <c r="A1275" s="3">
        <f ca="1">IFERROR(__xludf.DUMMYFUNCTION("""COMPUTED_VALUE"""),42286.6666666666)</f>
        <v>42286.666666666599</v>
      </c>
      <c r="B1275" s="4">
        <f ca="1">IFERROR(__xludf.DUMMYFUNCTION("""COMPUTED_VALUE"""),643.61)</f>
        <v>643.61</v>
      </c>
      <c r="C1275" s="5">
        <f t="shared" ca="1" si="0"/>
        <v>6.938138327327651E-3</v>
      </c>
    </row>
    <row r="1276" spans="1:3" ht="13" x14ac:dyDescent="0.15">
      <c r="A1276" s="3">
        <f ca="1">IFERROR(__xludf.DUMMYFUNCTION("""COMPUTED_VALUE"""),42289.6666666666)</f>
        <v>42289.666666666599</v>
      </c>
      <c r="B1276" s="4">
        <f ca="1">IFERROR(__xludf.DUMMYFUNCTION("""COMPUTED_VALUE"""),646.67)</f>
        <v>646.66999999999996</v>
      </c>
      <c r="C1276" s="5">
        <f t="shared" ca="1" si="0"/>
        <v>4.7431654166389496E-3</v>
      </c>
    </row>
    <row r="1277" spans="1:3" ht="13" x14ac:dyDescent="0.15">
      <c r="A1277" s="3">
        <f ca="1">IFERROR(__xludf.DUMMYFUNCTION("""COMPUTED_VALUE"""),42290.6666666666)</f>
        <v>42290.666666666599</v>
      </c>
      <c r="B1277" s="4">
        <f ca="1">IFERROR(__xludf.DUMMYFUNCTION("""COMPUTED_VALUE"""),652.3)</f>
        <v>652.29999999999995</v>
      </c>
      <c r="C1277" s="5">
        <f t="shared" ca="1" si="0"/>
        <v>8.6684607868960165E-3</v>
      </c>
    </row>
    <row r="1278" spans="1:3" ht="13" x14ac:dyDescent="0.15">
      <c r="A1278" s="3">
        <f ca="1">IFERROR(__xludf.DUMMYFUNCTION("""COMPUTED_VALUE"""),42291.6666666666)</f>
        <v>42291.666666666599</v>
      </c>
      <c r="B1278" s="4">
        <f ca="1">IFERROR(__xludf.DUMMYFUNCTION("""COMPUTED_VALUE"""),651.16)</f>
        <v>651.16</v>
      </c>
      <c r="C1278" s="5">
        <f t="shared" ca="1" si="0"/>
        <v>-1.7491910617411818E-3</v>
      </c>
    </row>
    <row r="1279" spans="1:3" ht="13" x14ac:dyDescent="0.15">
      <c r="A1279" s="3">
        <f ca="1">IFERROR(__xludf.DUMMYFUNCTION("""COMPUTED_VALUE"""),42292.6666666666)</f>
        <v>42292.666666666599</v>
      </c>
      <c r="B1279" s="4">
        <f ca="1">IFERROR(__xludf.DUMMYFUNCTION("""COMPUTED_VALUE"""),661.74)</f>
        <v>661.74</v>
      </c>
      <c r="C1279" s="5">
        <f t="shared" ca="1" si="0"/>
        <v>1.611734180580154E-2</v>
      </c>
    </row>
    <row r="1280" spans="1:3" ht="13" x14ac:dyDescent="0.15">
      <c r="A1280" s="3">
        <f ca="1">IFERROR(__xludf.DUMMYFUNCTION("""COMPUTED_VALUE"""),42293.6666666666)</f>
        <v>42293.666666666599</v>
      </c>
      <c r="B1280" s="4">
        <f ca="1">IFERROR(__xludf.DUMMYFUNCTION("""COMPUTED_VALUE"""),662.2)</f>
        <v>662.2</v>
      </c>
      <c r="C1280" s="5">
        <f t="shared" ca="1" si="0"/>
        <v>6.9489556703548644E-4</v>
      </c>
    </row>
    <row r="1281" spans="1:3" ht="13" x14ac:dyDescent="0.15">
      <c r="A1281" s="3">
        <f ca="1">IFERROR(__xludf.DUMMYFUNCTION("""COMPUTED_VALUE"""),42296.6666666666)</f>
        <v>42296.666666666599</v>
      </c>
      <c r="B1281" s="4">
        <f ca="1">IFERROR(__xludf.DUMMYFUNCTION("""COMPUTED_VALUE"""),666.1)</f>
        <v>666.1</v>
      </c>
      <c r="C1281" s="5">
        <f t="shared" ca="1" si="0"/>
        <v>5.8721843059877411E-3</v>
      </c>
    </row>
    <row r="1282" spans="1:3" ht="13" x14ac:dyDescent="0.15">
      <c r="A1282" s="3">
        <f ca="1">IFERROR(__xludf.DUMMYFUNCTION("""COMPUTED_VALUE"""),42297.6666666666)</f>
        <v>42297.666666666599</v>
      </c>
      <c r="B1282" s="4">
        <f ca="1">IFERROR(__xludf.DUMMYFUNCTION("""COMPUTED_VALUE"""),650.28)</f>
        <v>650.28</v>
      </c>
      <c r="C1282" s="5">
        <f t="shared" ca="1" si="0"/>
        <v>-2.4036770053110661E-2</v>
      </c>
    </row>
    <row r="1283" spans="1:3" ht="13" x14ac:dyDescent="0.15">
      <c r="A1283" s="3">
        <f ca="1">IFERROR(__xludf.DUMMYFUNCTION("""COMPUTED_VALUE"""),42298.6666666666)</f>
        <v>42298.666666666599</v>
      </c>
      <c r="B1283" s="4">
        <f ca="1">IFERROR(__xludf.DUMMYFUNCTION("""COMPUTED_VALUE"""),642.61)</f>
        <v>642.61</v>
      </c>
      <c r="C1283" s="5">
        <f t="shared" ca="1" si="0"/>
        <v>-1.1865031025080632E-2</v>
      </c>
    </row>
    <row r="1284" spans="1:3" ht="13" x14ac:dyDescent="0.15">
      <c r="A1284" s="3">
        <f ca="1">IFERROR(__xludf.DUMMYFUNCTION("""COMPUTED_VALUE"""),42299.6666666666)</f>
        <v>42299.666666666599</v>
      </c>
      <c r="B1284" s="4">
        <f ca="1">IFERROR(__xludf.DUMMYFUNCTION("""COMPUTED_VALUE"""),651.79)</f>
        <v>651.79</v>
      </c>
      <c r="C1284" s="5">
        <f t="shared" ca="1" si="0"/>
        <v>1.4184415815339401E-2</v>
      </c>
    </row>
    <row r="1285" spans="1:3" ht="13" x14ac:dyDescent="0.15">
      <c r="A1285" s="3">
        <f ca="1">IFERROR(__xludf.DUMMYFUNCTION("""COMPUTED_VALUE"""),42300.6666666666)</f>
        <v>42300.666666666599</v>
      </c>
      <c r="B1285" s="4">
        <f ca="1">IFERROR(__xludf.DUMMYFUNCTION("""COMPUTED_VALUE"""),702)</f>
        <v>702</v>
      </c>
      <c r="C1285" s="5">
        <f t="shared" ca="1" si="0"/>
        <v>7.4210979869529237E-2</v>
      </c>
    </row>
    <row r="1286" spans="1:3" ht="13" x14ac:dyDescent="0.15">
      <c r="A1286" s="3">
        <f ca="1">IFERROR(__xludf.DUMMYFUNCTION("""COMPUTED_VALUE"""),42303.6666666666)</f>
        <v>42303.666666666599</v>
      </c>
      <c r="B1286" s="4">
        <f ca="1">IFERROR(__xludf.DUMMYFUNCTION("""COMPUTED_VALUE"""),712.78)</f>
        <v>712.78</v>
      </c>
      <c r="C1286" s="5">
        <f t="shared" ca="1" si="0"/>
        <v>1.5239413375753602E-2</v>
      </c>
    </row>
    <row r="1287" spans="1:3" ht="13" x14ac:dyDescent="0.15">
      <c r="A1287" s="3">
        <f ca="1">IFERROR(__xludf.DUMMYFUNCTION("""COMPUTED_VALUE"""),42304.6666666666)</f>
        <v>42304.666666666599</v>
      </c>
      <c r="B1287" s="4">
        <f ca="1">IFERROR(__xludf.DUMMYFUNCTION("""COMPUTED_VALUE"""),708.49)</f>
        <v>708.49</v>
      </c>
      <c r="C1287" s="5">
        <f t="shared" ca="1" si="0"/>
        <v>-6.0368726964784881E-3</v>
      </c>
    </row>
    <row r="1288" spans="1:3" ht="13" x14ac:dyDescent="0.15">
      <c r="A1288" s="3">
        <f ca="1">IFERROR(__xludf.DUMMYFUNCTION("""COMPUTED_VALUE"""),42305.6666666666)</f>
        <v>42305.666666666599</v>
      </c>
      <c r="B1288" s="4">
        <f ca="1">IFERROR(__xludf.DUMMYFUNCTION("""COMPUTED_VALUE"""),712.95)</f>
        <v>712.95</v>
      </c>
      <c r="C1288" s="5">
        <f t="shared" ca="1" si="0"/>
        <v>6.2753470230420246E-3</v>
      </c>
    </row>
    <row r="1289" spans="1:3" ht="13" x14ac:dyDescent="0.15">
      <c r="A1289" s="3">
        <f ca="1">IFERROR(__xludf.DUMMYFUNCTION("""COMPUTED_VALUE"""),42306.6666666666)</f>
        <v>42306.666666666599</v>
      </c>
      <c r="B1289" s="4">
        <f ca="1">IFERROR(__xludf.DUMMYFUNCTION("""COMPUTED_VALUE"""),716.92)</f>
        <v>716.92</v>
      </c>
      <c r="C1289" s="5">
        <f t="shared" ca="1" si="0"/>
        <v>5.5529666352683929E-3</v>
      </c>
    </row>
    <row r="1290" spans="1:3" ht="13" x14ac:dyDescent="0.15">
      <c r="A1290" s="3">
        <f ca="1">IFERROR(__xludf.DUMMYFUNCTION("""COMPUTED_VALUE"""),42307.6666666666)</f>
        <v>42307.666666666599</v>
      </c>
      <c r="B1290" s="4">
        <f ca="1">IFERROR(__xludf.DUMMYFUNCTION("""COMPUTED_VALUE"""),710.81)</f>
        <v>710.81</v>
      </c>
      <c r="C1290" s="5">
        <f t="shared" ca="1" si="0"/>
        <v>-8.5590935268263432E-3</v>
      </c>
    </row>
    <row r="1291" spans="1:3" ht="13" x14ac:dyDescent="0.15">
      <c r="A1291" s="3">
        <f ca="1">IFERROR(__xludf.DUMMYFUNCTION("""COMPUTED_VALUE"""),42310.6666666666)</f>
        <v>42310.666666666599</v>
      </c>
      <c r="B1291" s="4">
        <f ca="1">IFERROR(__xludf.DUMMYFUNCTION("""COMPUTED_VALUE"""),721.11)</f>
        <v>721.11</v>
      </c>
      <c r="C1291" s="5">
        <f t="shared" ca="1" si="0"/>
        <v>1.4386526692109781E-2</v>
      </c>
    </row>
    <row r="1292" spans="1:3" ht="13" x14ac:dyDescent="0.15">
      <c r="A1292" s="3">
        <f ca="1">IFERROR(__xludf.DUMMYFUNCTION("""COMPUTED_VALUE"""),42311.6666666666)</f>
        <v>42311.666666666599</v>
      </c>
      <c r="B1292" s="4">
        <f ca="1">IFERROR(__xludf.DUMMYFUNCTION("""COMPUTED_VALUE"""),722.16)</f>
        <v>722.16</v>
      </c>
      <c r="C1292" s="5">
        <f t="shared" ca="1" si="0"/>
        <v>1.4550294612195745E-3</v>
      </c>
    </row>
    <row r="1293" spans="1:3" ht="13" x14ac:dyDescent="0.15">
      <c r="A1293" s="3">
        <f ca="1">IFERROR(__xludf.DUMMYFUNCTION("""COMPUTED_VALUE"""),42312.6666666666)</f>
        <v>42312.666666666599</v>
      </c>
      <c r="B1293" s="4">
        <f ca="1">IFERROR(__xludf.DUMMYFUNCTION("""COMPUTED_VALUE"""),728.11)</f>
        <v>728.11</v>
      </c>
      <c r="C1293" s="5">
        <f t="shared" ca="1" si="0"/>
        <v>8.2054146935963291E-3</v>
      </c>
    </row>
    <row r="1294" spans="1:3" ht="13" x14ac:dyDescent="0.15">
      <c r="A1294" s="3">
        <f ca="1">IFERROR(__xludf.DUMMYFUNCTION("""COMPUTED_VALUE"""),42313.6666666666)</f>
        <v>42313.666666666599</v>
      </c>
      <c r="B1294" s="4">
        <f ca="1">IFERROR(__xludf.DUMMYFUNCTION("""COMPUTED_VALUE"""),731.25)</f>
        <v>731.25</v>
      </c>
      <c r="C1294" s="5">
        <f t="shared" ca="1" si="0"/>
        <v>4.3032628625704799E-3</v>
      </c>
    </row>
    <row r="1295" spans="1:3" ht="13" x14ac:dyDescent="0.15">
      <c r="A1295" s="3">
        <f ca="1">IFERROR(__xludf.DUMMYFUNCTION("""COMPUTED_VALUE"""),42314.6666666666)</f>
        <v>42314.666666666599</v>
      </c>
      <c r="B1295" s="4">
        <f ca="1">IFERROR(__xludf.DUMMYFUNCTION("""COMPUTED_VALUE"""),733.76)</f>
        <v>733.76</v>
      </c>
      <c r="C1295" s="5">
        <f t="shared" ca="1" si="0"/>
        <v>3.4266011234733796E-3</v>
      </c>
    </row>
    <row r="1296" spans="1:3" ht="13" x14ac:dyDescent="0.15">
      <c r="A1296" s="3">
        <f ca="1">IFERROR(__xludf.DUMMYFUNCTION("""COMPUTED_VALUE"""),42317.6666666666)</f>
        <v>42317.666666666599</v>
      </c>
      <c r="B1296" s="4">
        <f ca="1">IFERROR(__xludf.DUMMYFUNCTION("""COMPUTED_VALUE"""),724.89)</f>
        <v>724.89</v>
      </c>
      <c r="C1296" s="5">
        <f t="shared" ca="1" si="0"/>
        <v>-1.2162080464067304E-2</v>
      </c>
    </row>
    <row r="1297" spans="1:3" ht="13" x14ac:dyDescent="0.15">
      <c r="A1297" s="3">
        <f ca="1">IFERROR(__xludf.DUMMYFUNCTION("""COMPUTED_VALUE"""),42318.6666666666)</f>
        <v>42318.666666666599</v>
      </c>
      <c r="B1297" s="4">
        <f ca="1">IFERROR(__xludf.DUMMYFUNCTION("""COMPUTED_VALUE"""),728.32)</f>
        <v>728.32</v>
      </c>
      <c r="C1297" s="5">
        <f t="shared" ca="1" si="0"/>
        <v>4.7205928523844452E-3</v>
      </c>
    </row>
    <row r="1298" spans="1:3" ht="13" x14ac:dyDescent="0.15">
      <c r="A1298" s="3">
        <f ca="1">IFERROR(__xludf.DUMMYFUNCTION("""COMPUTED_VALUE"""),42319.6666666666)</f>
        <v>42319.666666666599</v>
      </c>
      <c r="B1298" s="4">
        <f ca="1">IFERROR(__xludf.DUMMYFUNCTION("""COMPUTED_VALUE"""),735.4)</f>
        <v>735.4</v>
      </c>
      <c r="C1298" s="5">
        <f t="shared" ca="1" si="0"/>
        <v>9.6740568093148203E-3</v>
      </c>
    </row>
    <row r="1299" spans="1:3" ht="13" x14ac:dyDescent="0.15">
      <c r="A1299" s="3">
        <f ca="1">IFERROR(__xludf.DUMMYFUNCTION("""COMPUTED_VALUE"""),42320.6666666666)</f>
        <v>42320.666666666599</v>
      </c>
      <c r="B1299" s="4">
        <f ca="1">IFERROR(__xludf.DUMMYFUNCTION("""COMPUTED_VALUE"""),731.23)</f>
        <v>731.23</v>
      </c>
      <c r="C1299" s="5">
        <f t="shared" ca="1" si="0"/>
        <v>-5.6865211224854887E-3</v>
      </c>
    </row>
    <row r="1300" spans="1:3" ht="13" x14ac:dyDescent="0.15">
      <c r="A1300" s="3">
        <f ca="1">IFERROR(__xludf.DUMMYFUNCTION("""COMPUTED_VALUE"""),42321.6666666666)</f>
        <v>42321.666666666599</v>
      </c>
      <c r="B1300" s="4">
        <f ca="1">IFERROR(__xludf.DUMMYFUNCTION("""COMPUTED_VALUE"""),717)</f>
        <v>717</v>
      </c>
      <c r="C1300" s="5">
        <f t="shared" ca="1" si="0"/>
        <v>-1.9652207145065735E-2</v>
      </c>
    </row>
    <row r="1301" spans="1:3" ht="13" x14ac:dyDescent="0.15">
      <c r="A1301" s="3">
        <f ca="1">IFERROR(__xludf.DUMMYFUNCTION("""COMPUTED_VALUE"""),42324.6666666666)</f>
        <v>42324.666666666599</v>
      </c>
      <c r="B1301" s="4">
        <f ca="1">IFERROR(__xludf.DUMMYFUNCTION("""COMPUTED_VALUE"""),728.96)</f>
        <v>728.96</v>
      </c>
      <c r="C1301" s="5">
        <f t="shared" ca="1" si="0"/>
        <v>1.6543020219142408E-2</v>
      </c>
    </row>
    <row r="1302" spans="1:3" ht="13" x14ac:dyDescent="0.15">
      <c r="A1302" s="3">
        <f ca="1">IFERROR(__xludf.DUMMYFUNCTION("""COMPUTED_VALUE"""),42325.6666666666)</f>
        <v>42325.666666666599</v>
      </c>
      <c r="B1302" s="4">
        <f ca="1">IFERROR(__xludf.DUMMYFUNCTION("""COMPUTED_VALUE"""),725.3)</f>
        <v>725.3</v>
      </c>
      <c r="C1302" s="5">
        <f t="shared" ca="1" si="0"/>
        <v>-5.0334984493960845E-3</v>
      </c>
    </row>
    <row r="1303" spans="1:3" ht="13" x14ac:dyDescent="0.15">
      <c r="A1303" s="3">
        <f ca="1">IFERROR(__xludf.DUMMYFUNCTION("""COMPUTED_VALUE"""),42326.6666666666)</f>
        <v>42326.666666666599</v>
      </c>
      <c r="B1303" s="4">
        <f ca="1">IFERROR(__xludf.DUMMYFUNCTION("""COMPUTED_VALUE"""),740)</f>
        <v>740</v>
      </c>
      <c r="C1303" s="5">
        <f t="shared" ca="1" si="0"/>
        <v>2.0064823828848714E-2</v>
      </c>
    </row>
    <row r="1304" spans="1:3" ht="13" x14ac:dyDescent="0.15">
      <c r="A1304" s="3">
        <f ca="1">IFERROR(__xludf.DUMMYFUNCTION("""COMPUTED_VALUE"""),42327.6666666666)</f>
        <v>42327.666666666599</v>
      </c>
      <c r="B1304" s="4">
        <f ca="1">IFERROR(__xludf.DUMMYFUNCTION("""COMPUTED_VALUE"""),738.41)</f>
        <v>738.41</v>
      </c>
      <c r="C1304" s="5">
        <f t="shared" ca="1" si="0"/>
        <v>-2.150960306042996E-3</v>
      </c>
    </row>
    <row r="1305" spans="1:3" ht="13" x14ac:dyDescent="0.15">
      <c r="A1305" s="3">
        <f ca="1">IFERROR(__xludf.DUMMYFUNCTION("""COMPUTED_VALUE"""),42328.6666666666)</f>
        <v>42328.666666666599</v>
      </c>
      <c r="B1305" s="4">
        <f ca="1">IFERROR(__xludf.DUMMYFUNCTION("""COMPUTED_VALUE"""),756.6)</f>
        <v>756.6</v>
      </c>
      <c r="C1305" s="5">
        <f t="shared" ca="1" si="0"/>
        <v>2.4335486306756346E-2</v>
      </c>
    </row>
    <row r="1306" spans="1:3" ht="13" x14ac:dyDescent="0.15">
      <c r="A1306" s="3">
        <f ca="1">IFERROR(__xludf.DUMMYFUNCTION("""COMPUTED_VALUE"""),42331.6666666666)</f>
        <v>42331.666666666599</v>
      </c>
      <c r="B1306" s="4">
        <f ca="1">IFERROR(__xludf.DUMMYFUNCTION("""COMPUTED_VALUE"""),755.98)</f>
        <v>755.98</v>
      </c>
      <c r="C1306" s="5">
        <f t="shared" ca="1" si="0"/>
        <v>-8.1979139579128456E-4</v>
      </c>
    </row>
    <row r="1307" spans="1:3" ht="13" x14ac:dyDescent="0.15">
      <c r="A1307" s="3">
        <f ca="1">IFERROR(__xludf.DUMMYFUNCTION("""COMPUTED_VALUE"""),42332.6666666666)</f>
        <v>42332.666666666599</v>
      </c>
      <c r="B1307" s="4">
        <f ca="1">IFERROR(__xludf.DUMMYFUNCTION("""COMPUTED_VALUE"""),748.28)</f>
        <v>748.28</v>
      </c>
      <c r="C1307" s="5">
        <f t="shared" ca="1" si="0"/>
        <v>-1.0237681322433807E-2</v>
      </c>
    </row>
    <row r="1308" spans="1:3" ht="13" x14ac:dyDescent="0.15">
      <c r="A1308" s="3">
        <f ca="1">IFERROR(__xludf.DUMMYFUNCTION("""COMPUTED_VALUE"""),42333.6666666666)</f>
        <v>42333.666666666599</v>
      </c>
      <c r="B1308" s="4">
        <f ca="1">IFERROR(__xludf.DUMMYFUNCTION("""COMPUTED_VALUE"""),748.15)</f>
        <v>748.15</v>
      </c>
      <c r="C1308" s="5">
        <f t="shared" ca="1" si="0"/>
        <v>-1.7374685127539874E-4</v>
      </c>
    </row>
    <row r="1309" spans="1:3" ht="13" x14ac:dyDescent="0.15">
      <c r="A1309" s="3">
        <f ca="1">IFERROR(__xludf.DUMMYFUNCTION("""COMPUTED_VALUE"""),42335.6666666666)</f>
        <v>42335.666666666599</v>
      </c>
      <c r="B1309" s="4">
        <f ca="1">IFERROR(__xludf.DUMMYFUNCTION("""COMPUTED_VALUE"""),750.26)</f>
        <v>750.26</v>
      </c>
      <c r="C1309" s="5">
        <f t="shared" ca="1" si="0"/>
        <v>2.8163204925891411E-3</v>
      </c>
    </row>
    <row r="1310" spans="1:3" ht="13" x14ac:dyDescent="0.15">
      <c r="A1310" s="3">
        <f ca="1">IFERROR(__xludf.DUMMYFUNCTION("""COMPUTED_VALUE"""),42338.6666666666)</f>
        <v>42338.666666666599</v>
      </c>
      <c r="B1310" s="4">
        <f ca="1">IFERROR(__xludf.DUMMYFUNCTION("""COMPUTED_VALUE"""),742.6)</f>
        <v>742.6</v>
      </c>
      <c r="C1310" s="5">
        <f t="shared" ca="1" si="0"/>
        <v>-1.0262271379037735E-2</v>
      </c>
    </row>
    <row r="1311" spans="1:3" ht="13" x14ac:dyDescent="0.15">
      <c r="A1311" s="3">
        <f ca="1">IFERROR(__xludf.DUMMYFUNCTION("""COMPUTED_VALUE"""),42339.6666666666)</f>
        <v>42339.666666666599</v>
      </c>
      <c r="B1311" s="4">
        <f ca="1">IFERROR(__xludf.DUMMYFUNCTION("""COMPUTED_VALUE"""),767.04)</f>
        <v>767.04</v>
      </c>
      <c r="C1311" s="5">
        <f t="shared" ca="1" si="0"/>
        <v>3.2381409503039783E-2</v>
      </c>
    </row>
    <row r="1312" spans="1:3" ht="13" x14ac:dyDescent="0.15">
      <c r="A1312" s="3">
        <f ca="1">IFERROR(__xludf.DUMMYFUNCTION("""COMPUTED_VALUE"""),42340.6666666666)</f>
        <v>42340.666666666599</v>
      </c>
      <c r="B1312" s="4">
        <f ca="1">IFERROR(__xludf.DUMMYFUNCTION("""COMPUTED_VALUE"""),762.38)</f>
        <v>762.38</v>
      </c>
      <c r="C1312" s="5">
        <f t="shared" ca="1" si="0"/>
        <v>-6.0938321987004003E-3</v>
      </c>
    </row>
    <row r="1313" spans="1:3" ht="13" x14ac:dyDescent="0.15">
      <c r="A1313" s="3">
        <f ca="1">IFERROR(__xludf.DUMMYFUNCTION("""COMPUTED_VALUE"""),42341.6666666666)</f>
        <v>42341.666666666599</v>
      </c>
      <c r="B1313" s="4">
        <f ca="1">IFERROR(__xludf.DUMMYFUNCTION("""COMPUTED_VALUE"""),752.54)</f>
        <v>752.54</v>
      </c>
      <c r="C1313" s="5">
        <f t="shared" ca="1" si="0"/>
        <v>-1.2990967690846842E-2</v>
      </c>
    </row>
    <row r="1314" spans="1:3" ht="13" x14ac:dyDescent="0.15">
      <c r="A1314" s="3">
        <f ca="1">IFERROR(__xludf.DUMMYFUNCTION("""COMPUTED_VALUE"""),42342.6666666666)</f>
        <v>42342.666666666599</v>
      </c>
      <c r="B1314" s="4">
        <f ca="1">IFERROR(__xludf.DUMMYFUNCTION("""COMPUTED_VALUE"""),766.81)</f>
        <v>766.81</v>
      </c>
      <c r="C1314" s="5">
        <f t="shared" ca="1" si="0"/>
        <v>1.8784900940205476E-2</v>
      </c>
    </row>
    <row r="1315" spans="1:3" ht="13" x14ac:dyDescent="0.15">
      <c r="A1315" s="3">
        <f ca="1">IFERROR(__xludf.DUMMYFUNCTION("""COMPUTED_VALUE"""),42345.6666666666)</f>
        <v>42345.666666666599</v>
      </c>
      <c r="B1315" s="4">
        <f ca="1">IFERROR(__xludf.DUMMYFUNCTION("""COMPUTED_VALUE"""),763.25)</f>
        <v>763.25</v>
      </c>
      <c r="C1315" s="5">
        <f t="shared" ca="1" si="0"/>
        <v>-4.6534206816905782E-3</v>
      </c>
    </row>
    <row r="1316" spans="1:3" ht="13" x14ac:dyDescent="0.15">
      <c r="A1316" s="3">
        <f ca="1">IFERROR(__xludf.DUMMYFUNCTION("""COMPUTED_VALUE"""),42346.6666666666)</f>
        <v>42346.666666666599</v>
      </c>
      <c r="B1316" s="4">
        <f ca="1">IFERROR(__xludf.DUMMYFUNCTION("""COMPUTED_VALUE"""),762.37)</f>
        <v>762.37</v>
      </c>
      <c r="C1316" s="5">
        <f t="shared" ca="1" si="0"/>
        <v>-1.1536294720788762E-3</v>
      </c>
    </row>
    <row r="1317" spans="1:3" ht="13" x14ac:dyDescent="0.15">
      <c r="A1317" s="3">
        <f ca="1">IFERROR(__xludf.DUMMYFUNCTION("""COMPUTED_VALUE"""),42347.6666666666)</f>
        <v>42347.666666666599</v>
      </c>
      <c r="B1317" s="4">
        <f ca="1">IFERROR(__xludf.DUMMYFUNCTION("""COMPUTED_VALUE"""),751.61)</f>
        <v>751.61</v>
      </c>
      <c r="C1317" s="5">
        <f t="shared" ca="1" si="0"/>
        <v>-1.4214429742667026E-2</v>
      </c>
    </row>
    <row r="1318" spans="1:3" ht="13" x14ac:dyDescent="0.15">
      <c r="A1318" s="3">
        <f ca="1">IFERROR(__xludf.DUMMYFUNCTION("""COMPUTED_VALUE"""),42348.6666666666)</f>
        <v>42348.666666666599</v>
      </c>
      <c r="B1318" s="4">
        <f ca="1">IFERROR(__xludf.DUMMYFUNCTION("""COMPUTED_VALUE"""),749.46)</f>
        <v>749.46</v>
      </c>
      <c r="C1318" s="5">
        <f t="shared" ca="1" si="0"/>
        <v>-2.8646251943684553E-3</v>
      </c>
    </row>
    <row r="1319" spans="1:3" ht="13" x14ac:dyDescent="0.15">
      <c r="A1319" s="3">
        <f ca="1">IFERROR(__xludf.DUMMYFUNCTION("""COMPUTED_VALUE"""),42349.6666666666)</f>
        <v>42349.666666666599</v>
      </c>
      <c r="B1319" s="4">
        <f ca="1">IFERROR(__xludf.DUMMYFUNCTION("""COMPUTED_VALUE"""),738.87)</f>
        <v>738.87</v>
      </c>
      <c r="C1319" s="5">
        <f t="shared" ca="1" si="0"/>
        <v>-1.4230955128729222E-2</v>
      </c>
    </row>
    <row r="1320" spans="1:3" ht="13" x14ac:dyDescent="0.15">
      <c r="A1320" s="3">
        <f ca="1">IFERROR(__xludf.DUMMYFUNCTION("""COMPUTED_VALUE"""),42352.6666666666)</f>
        <v>42352.666666666599</v>
      </c>
      <c r="B1320" s="4">
        <f ca="1">IFERROR(__xludf.DUMMYFUNCTION("""COMPUTED_VALUE"""),747.77)</f>
        <v>747.77</v>
      </c>
      <c r="C1320" s="5">
        <f t="shared" ca="1" si="0"/>
        <v>1.197345198261042E-2</v>
      </c>
    </row>
    <row r="1321" spans="1:3" ht="13" x14ac:dyDescent="0.15">
      <c r="A1321" s="3">
        <f ca="1">IFERROR(__xludf.DUMMYFUNCTION("""COMPUTED_VALUE"""),42353.6666666666)</f>
        <v>42353.666666666599</v>
      </c>
      <c r="B1321" s="4">
        <f ca="1">IFERROR(__xludf.DUMMYFUNCTION("""COMPUTED_VALUE"""),743.4)</f>
        <v>743.4</v>
      </c>
      <c r="C1321" s="5">
        <f t="shared" ca="1" si="0"/>
        <v>-5.8611861966022961E-3</v>
      </c>
    </row>
    <row r="1322" spans="1:3" ht="13" x14ac:dyDescent="0.15">
      <c r="A1322" s="3">
        <f ca="1">IFERROR(__xludf.DUMMYFUNCTION("""COMPUTED_VALUE"""),42354.6666666666)</f>
        <v>42354.666666666599</v>
      </c>
      <c r="B1322" s="4">
        <f ca="1">IFERROR(__xludf.DUMMYFUNCTION("""COMPUTED_VALUE"""),758.09)</f>
        <v>758.09</v>
      </c>
      <c r="C1322" s="5">
        <f t="shared" ca="1" si="0"/>
        <v>1.95678542401896E-2</v>
      </c>
    </row>
    <row r="1323" spans="1:3" ht="13" x14ac:dyDescent="0.15">
      <c r="A1323" s="3">
        <f ca="1">IFERROR(__xludf.DUMMYFUNCTION("""COMPUTED_VALUE"""),42355.6666666666)</f>
        <v>42355.666666666599</v>
      </c>
      <c r="B1323" s="4">
        <f ca="1">IFERROR(__xludf.DUMMYFUNCTION("""COMPUTED_VALUE"""),749.43)</f>
        <v>749.43</v>
      </c>
      <c r="C1323" s="5">
        <f t="shared" ca="1" si="0"/>
        <v>-1.1489194519394104E-2</v>
      </c>
    </row>
    <row r="1324" spans="1:3" ht="13" x14ac:dyDescent="0.15">
      <c r="A1324" s="3">
        <f ca="1">IFERROR(__xludf.DUMMYFUNCTION("""COMPUTED_VALUE"""),42356.6666666666)</f>
        <v>42356.666666666599</v>
      </c>
      <c r="B1324" s="4">
        <f ca="1">IFERROR(__xludf.DUMMYFUNCTION("""COMPUTED_VALUE"""),739.31)</f>
        <v>739.31</v>
      </c>
      <c r="C1324" s="5">
        <f t="shared" ca="1" si="0"/>
        <v>-1.3595598803702308E-2</v>
      </c>
    </row>
    <row r="1325" spans="1:3" ht="13" x14ac:dyDescent="0.15">
      <c r="A1325" s="3">
        <f ca="1">IFERROR(__xludf.DUMMYFUNCTION("""COMPUTED_VALUE"""),42359.6666666666)</f>
        <v>42359.666666666599</v>
      </c>
      <c r="B1325" s="4">
        <f ca="1">IFERROR(__xludf.DUMMYFUNCTION("""COMPUTED_VALUE"""),747.77)</f>
        <v>747.77</v>
      </c>
      <c r="C1325" s="5">
        <f t="shared" ca="1" si="0"/>
        <v>1.137812527950904E-2</v>
      </c>
    </row>
    <row r="1326" spans="1:3" ht="13" x14ac:dyDescent="0.15">
      <c r="A1326" s="3">
        <f ca="1">IFERROR(__xludf.DUMMYFUNCTION("""COMPUTED_VALUE"""),42360.6666666666)</f>
        <v>42360.666666666599</v>
      </c>
      <c r="B1326" s="4">
        <f ca="1">IFERROR(__xludf.DUMMYFUNCTION("""COMPUTED_VALUE"""),750)</f>
        <v>750</v>
      </c>
      <c r="C1326" s="5">
        <f t="shared" ca="1" si="0"/>
        <v>2.9777624706021173E-3</v>
      </c>
    </row>
    <row r="1327" spans="1:3" ht="13" x14ac:dyDescent="0.15">
      <c r="A1327" s="3">
        <f ca="1">IFERROR(__xludf.DUMMYFUNCTION("""COMPUTED_VALUE"""),42361.6666666666)</f>
        <v>42361.666666666599</v>
      </c>
      <c r="B1327" s="4">
        <f ca="1">IFERROR(__xludf.DUMMYFUNCTION("""COMPUTED_VALUE"""),750.31)</f>
        <v>750.31</v>
      </c>
      <c r="C1327" s="5">
        <f t="shared" ca="1" si="0"/>
        <v>4.132479346422058E-4</v>
      </c>
    </row>
    <row r="1328" spans="1:3" ht="13" x14ac:dyDescent="0.15">
      <c r="A1328" s="3">
        <f ca="1">IFERROR(__xludf.DUMMYFUNCTION("""COMPUTED_VALUE"""),42362.6666666666)</f>
        <v>42362.666666666599</v>
      </c>
      <c r="B1328" s="4">
        <f ca="1">IFERROR(__xludf.DUMMYFUNCTION("""COMPUTED_VALUE"""),748.4)</f>
        <v>748.4</v>
      </c>
      <c r="C1328" s="5">
        <f t="shared" ca="1" si="0"/>
        <v>-2.5488600650639573E-3</v>
      </c>
    </row>
    <row r="1329" spans="1:3" ht="13" x14ac:dyDescent="0.15">
      <c r="A1329" s="3">
        <f ca="1">IFERROR(__xludf.DUMMYFUNCTION("""COMPUTED_VALUE"""),42366.6666666666)</f>
        <v>42366.666666666599</v>
      </c>
      <c r="B1329" s="4">
        <f ca="1">IFERROR(__xludf.DUMMYFUNCTION("""COMPUTED_VALUE"""),762.51)</f>
        <v>762.51</v>
      </c>
      <c r="C1329" s="5">
        <f t="shared" ca="1" si="0"/>
        <v>1.8678028749732845E-2</v>
      </c>
    </row>
    <row r="1330" spans="1:3" ht="13" x14ac:dyDescent="0.15">
      <c r="A1330" s="3">
        <f ca="1">IFERROR(__xludf.DUMMYFUNCTION("""COMPUTED_VALUE"""),42367.6666666666)</f>
        <v>42367.666666666599</v>
      </c>
      <c r="B1330" s="4">
        <f ca="1">IFERROR(__xludf.DUMMYFUNCTION("""COMPUTED_VALUE"""),776.6)</f>
        <v>776.6</v>
      </c>
      <c r="C1330" s="5">
        <f t="shared" ca="1" si="0"/>
        <v>1.8309794147899565E-2</v>
      </c>
    </row>
    <row r="1331" spans="1:3" ht="13" x14ac:dyDescent="0.15">
      <c r="A1331" s="3">
        <f ca="1">IFERROR(__xludf.DUMMYFUNCTION("""COMPUTED_VALUE"""),42368.6666666666)</f>
        <v>42368.666666666599</v>
      </c>
      <c r="B1331" s="4">
        <f ca="1">IFERROR(__xludf.DUMMYFUNCTION("""COMPUTED_VALUE"""),771)</f>
        <v>771</v>
      </c>
      <c r="C1331" s="5">
        <f t="shared" ca="1" si="0"/>
        <v>-7.2370437342374533E-3</v>
      </c>
    </row>
    <row r="1332" spans="1:3" ht="13" x14ac:dyDescent="0.15">
      <c r="A1332" s="3">
        <f ca="1">IFERROR(__xludf.DUMMYFUNCTION("""COMPUTED_VALUE"""),42369.6666666666)</f>
        <v>42369.666666666599</v>
      </c>
      <c r="B1332" s="4">
        <f ca="1">IFERROR(__xludf.DUMMYFUNCTION("""COMPUTED_VALUE"""),758.88)</f>
        <v>758.88</v>
      </c>
      <c r="C1332" s="5">
        <f t="shared" ca="1" si="0"/>
        <v>-1.5844711434057943E-2</v>
      </c>
    </row>
    <row r="1333" spans="1:3" ht="13" x14ac:dyDescent="0.15">
      <c r="A1333" s="3">
        <f ca="1">IFERROR(__xludf.DUMMYFUNCTION("""COMPUTED_VALUE"""),42373.6666666666)</f>
        <v>42373.666666666599</v>
      </c>
      <c r="B1333" s="4">
        <f ca="1">IFERROR(__xludf.DUMMYFUNCTION("""COMPUTED_VALUE"""),741.84)</f>
        <v>741.84</v>
      </c>
      <c r="C1333" s="5">
        <f t="shared" ca="1" si="0"/>
        <v>-2.2710075637301024E-2</v>
      </c>
    </row>
    <row r="1334" spans="1:3" ht="13" x14ac:dyDescent="0.15">
      <c r="A1334" s="3">
        <f ca="1">IFERROR(__xludf.DUMMYFUNCTION("""COMPUTED_VALUE"""),42374.6666666666)</f>
        <v>42374.666666666599</v>
      </c>
      <c r="B1334" s="4">
        <f ca="1">IFERROR(__xludf.DUMMYFUNCTION("""COMPUTED_VALUE"""),742.58)</f>
        <v>742.58</v>
      </c>
      <c r="C1334" s="5">
        <f t="shared" ca="1" si="0"/>
        <v>9.9702248864869006E-4</v>
      </c>
    </row>
    <row r="1335" spans="1:3" ht="13" x14ac:dyDescent="0.15">
      <c r="A1335" s="3">
        <f ca="1">IFERROR(__xludf.DUMMYFUNCTION("""COMPUTED_VALUE"""),42375.6666666666)</f>
        <v>42375.666666666599</v>
      </c>
      <c r="B1335" s="4">
        <f ca="1">IFERROR(__xludf.DUMMYFUNCTION("""COMPUTED_VALUE"""),743.62)</f>
        <v>743.62</v>
      </c>
      <c r="C1335" s="5">
        <f t="shared" ca="1" si="0"/>
        <v>1.3995426857161158E-3</v>
      </c>
    </row>
    <row r="1336" spans="1:3" ht="13" x14ac:dyDescent="0.15">
      <c r="A1336" s="3">
        <f ca="1">IFERROR(__xludf.DUMMYFUNCTION("""COMPUTED_VALUE"""),42376.6666666666)</f>
        <v>42376.666666666599</v>
      </c>
      <c r="B1336" s="4">
        <f ca="1">IFERROR(__xludf.DUMMYFUNCTION("""COMPUTED_VALUE"""),726.39)</f>
        <v>726.39</v>
      </c>
      <c r="C1336" s="5">
        <f t="shared" ca="1" si="0"/>
        <v>-2.3443090993835132E-2</v>
      </c>
    </row>
    <row r="1337" spans="1:3" ht="13" x14ac:dyDescent="0.15">
      <c r="A1337" s="3">
        <f ca="1">IFERROR(__xludf.DUMMYFUNCTION("""COMPUTED_VALUE"""),42377.6666666666)</f>
        <v>42377.666666666599</v>
      </c>
      <c r="B1337" s="4">
        <f ca="1">IFERROR(__xludf.DUMMYFUNCTION("""COMPUTED_VALUE"""),714.47)</f>
        <v>714.47</v>
      </c>
      <c r="C1337" s="5">
        <f t="shared" ca="1" si="0"/>
        <v>-1.6546051587852738E-2</v>
      </c>
    </row>
    <row r="1338" spans="1:3" ht="13" x14ac:dyDescent="0.15">
      <c r="A1338" s="3">
        <f ca="1">IFERROR(__xludf.DUMMYFUNCTION("""COMPUTED_VALUE"""),42380.6666666666)</f>
        <v>42380.666666666599</v>
      </c>
      <c r="B1338" s="4">
        <f ca="1">IFERROR(__xludf.DUMMYFUNCTION("""COMPUTED_VALUE"""),716.03)</f>
        <v>716.03</v>
      </c>
      <c r="C1338" s="5">
        <f t="shared" ca="1" si="0"/>
        <v>2.181056439581728E-3</v>
      </c>
    </row>
    <row r="1339" spans="1:3" ht="13" x14ac:dyDescent="0.15">
      <c r="A1339" s="3">
        <f ca="1">IFERROR(__xludf.DUMMYFUNCTION("""COMPUTED_VALUE"""),42381.6666666666)</f>
        <v>42381.666666666599</v>
      </c>
      <c r="B1339" s="4">
        <f ca="1">IFERROR(__xludf.DUMMYFUNCTION("""COMPUTED_VALUE"""),726.07)</f>
        <v>726.07</v>
      </c>
      <c r="C1339" s="5">
        <f t="shared" ca="1" si="0"/>
        <v>1.3924363385361982E-2</v>
      </c>
    </row>
    <row r="1340" spans="1:3" ht="13" x14ac:dyDescent="0.15">
      <c r="A1340" s="3">
        <f ca="1">IFERROR(__xludf.DUMMYFUNCTION("""COMPUTED_VALUE"""),42382.6666666666)</f>
        <v>42382.666666666599</v>
      </c>
      <c r="B1340" s="4">
        <f ca="1">IFERROR(__xludf.DUMMYFUNCTION("""COMPUTED_VALUE"""),700.56)</f>
        <v>700.56</v>
      </c>
      <c r="C1340" s="5">
        <f t="shared" ca="1" si="0"/>
        <v>-3.5766413695622334E-2</v>
      </c>
    </row>
    <row r="1341" spans="1:3" ht="13" x14ac:dyDescent="0.15">
      <c r="A1341" s="3">
        <f ca="1">IFERROR(__xludf.DUMMYFUNCTION("""COMPUTED_VALUE"""),42383.6666666666)</f>
        <v>42383.666666666599</v>
      </c>
      <c r="B1341" s="4">
        <f ca="1">IFERROR(__xludf.DUMMYFUNCTION("""COMPUTED_VALUE"""),714.72)</f>
        <v>714.72</v>
      </c>
      <c r="C1341" s="5">
        <f t="shared" ca="1" si="0"/>
        <v>2.0010842389839696E-2</v>
      </c>
    </row>
    <row r="1342" spans="1:3" ht="13" x14ac:dyDescent="0.15">
      <c r="A1342" s="3">
        <f ca="1">IFERROR(__xludf.DUMMYFUNCTION("""COMPUTED_VALUE"""),42384.6666666666)</f>
        <v>42384.666666666599</v>
      </c>
      <c r="B1342" s="4">
        <f ca="1">IFERROR(__xludf.DUMMYFUNCTION("""COMPUTED_VALUE"""),694.45)</f>
        <v>694.45</v>
      </c>
      <c r="C1342" s="5">
        <f t="shared" ca="1" si="0"/>
        <v>-2.8770692241580572E-2</v>
      </c>
    </row>
    <row r="1343" spans="1:3" ht="13" x14ac:dyDescent="0.15">
      <c r="A1343" s="3">
        <f ca="1">IFERROR(__xludf.DUMMYFUNCTION("""COMPUTED_VALUE"""),42388.6666666666)</f>
        <v>42388.666666666599</v>
      </c>
      <c r="B1343" s="4">
        <f ca="1">IFERROR(__xludf.DUMMYFUNCTION("""COMPUTED_VALUE"""),701.79)</f>
        <v>701.79</v>
      </c>
      <c r="C1343" s="5">
        <f t="shared" ca="1" si="0"/>
        <v>1.0514048611557402E-2</v>
      </c>
    </row>
    <row r="1344" spans="1:3" ht="13" x14ac:dyDescent="0.15">
      <c r="A1344" s="3">
        <f ca="1">IFERROR(__xludf.DUMMYFUNCTION("""COMPUTED_VALUE"""),42389.6666666666)</f>
        <v>42389.666666666599</v>
      </c>
      <c r="B1344" s="4">
        <f ca="1">IFERROR(__xludf.DUMMYFUNCTION("""COMPUTED_VALUE"""),698.45)</f>
        <v>698.45</v>
      </c>
      <c r="C1344" s="5">
        <f t="shared" ca="1" si="0"/>
        <v>-4.7706198002255484E-3</v>
      </c>
    </row>
    <row r="1345" spans="1:3" ht="13" x14ac:dyDescent="0.15">
      <c r="A1345" s="3">
        <f ca="1">IFERROR(__xludf.DUMMYFUNCTION("""COMPUTED_VALUE"""),42390.6666666666)</f>
        <v>42390.666666666599</v>
      </c>
      <c r="B1345" s="4">
        <f ca="1">IFERROR(__xludf.DUMMYFUNCTION("""COMPUTED_VALUE"""),706.59)</f>
        <v>706.59</v>
      </c>
      <c r="C1345" s="5">
        <f t="shared" ca="1" si="0"/>
        <v>1.1586988372823705E-2</v>
      </c>
    </row>
    <row r="1346" spans="1:3" ht="13" x14ac:dyDescent="0.15">
      <c r="A1346" s="3">
        <f ca="1">IFERROR(__xludf.DUMMYFUNCTION("""COMPUTED_VALUE"""),42391.6666666666)</f>
        <v>42391.666666666599</v>
      </c>
      <c r="B1346" s="4">
        <f ca="1">IFERROR(__xludf.DUMMYFUNCTION("""COMPUTED_VALUE"""),725.25)</f>
        <v>725.25</v>
      </c>
      <c r="C1346" s="5">
        <f t="shared" ca="1" si="0"/>
        <v>2.6065840455129836E-2</v>
      </c>
    </row>
    <row r="1347" spans="1:3" ht="13" x14ac:dyDescent="0.15">
      <c r="A1347" s="3">
        <f ca="1">IFERROR(__xludf.DUMMYFUNCTION("""COMPUTED_VALUE"""),42394.6666666666)</f>
        <v>42394.666666666599</v>
      </c>
      <c r="B1347" s="4">
        <f ca="1">IFERROR(__xludf.DUMMYFUNCTION("""COMPUTED_VALUE"""),711.67)</f>
        <v>711.67</v>
      </c>
      <c r="C1347" s="5">
        <f t="shared" ca="1" si="0"/>
        <v>-1.8902102177117963E-2</v>
      </c>
    </row>
    <row r="1348" spans="1:3" ht="13" x14ac:dyDescent="0.15">
      <c r="A1348" s="3">
        <f ca="1">IFERROR(__xludf.DUMMYFUNCTION("""COMPUTED_VALUE"""),42395.6666666666)</f>
        <v>42395.666666666599</v>
      </c>
      <c r="B1348" s="4">
        <f ca="1">IFERROR(__xludf.DUMMYFUNCTION("""COMPUTED_VALUE"""),713.04)</f>
        <v>713.04</v>
      </c>
      <c r="C1348" s="5">
        <f t="shared" ca="1" si="0"/>
        <v>1.9231989980662998E-3</v>
      </c>
    </row>
    <row r="1349" spans="1:3" ht="13" x14ac:dyDescent="0.15">
      <c r="A1349" s="3">
        <f ca="1">IFERROR(__xludf.DUMMYFUNCTION("""COMPUTED_VALUE"""),42396.6666666666)</f>
        <v>42396.666666666599</v>
      </c>
      <c r="B1349" s="4">
        <f ca="1">IFERROR(__xludf.DUMMYFUNCTION("""COMPUTED_VALUE"""),699.99)</f>
        <v>699.99</v>
      </c>
      <c r="C1349" s="5">
        <f t="shared" ca="1" si="0"/>
        <v>-1.8471470595384693E-2</v>
      </c>
    </row>
    <row r="1350" spans="1:3" ht="13" x14ac:dyDescent="0.15">
      <c r="A1350" s="3">
        <f ca="1">IFERROR(__xludf.DUMMYFUNCTION("""COMPUTED_VALUE"""),42397.6666666666)</f>
        <v>42397.666666666599</v>
      </c>
      <c r="B1350" s="4">
        <f ca="1">IFERROR(__xludf.DUMMYFUNCTION("""COMPUTED_VALUE"""),730.96)</f>
        <v>730.96</v>
      </c>
      <c r="C1350" s="5">
        <f t="shared" ca="1" si="0"/>
        <v>4.3292689463288035E-2</v>
      </c>
    </row>
    <row r="1351" spans="1:3" ht="13" x14ac:dyDescent="0.15">
      <c r="A1351" s="3">
        <f ca="1">IFERROR(__xludf.DUMMYFUNCTION("""COMPUTED_VALUE"""),42398.6666666666)</f>
        <v>42398.666666666599</v>
      </c>
      <c r="B1351" s="4">
        <f ca="1">IFERROR(__xludf.DUMMYFUNCTION("""COMPUTED_VALUE"""),742.95)</f>
        <v>742.95</v>
      </c>
      <c r="C1351" s="5">
        <f t="shared" ca="1" si="0"/>
        <v>1.6270009011991333E-2</v>
      </c>
    </row>
    <row r="1352" spans="1:3" ht="13" x14ac:dyDescent="0.15">
      <c r="A1352" s="3">
        <f ca="1">IFERROR(__xludf.DUMMYFUNCTION("""COMPUTED_VALUE"""),42401.6666666666)</f>
        <v>42401.666666666599</v>
      </c>
      <c r="B1352" s="4">
        <f ca="1">IFERROR(__xludf.DUMMYFUNCTION("""COMPUTED_VALUE"""),752)</f>
        <v>752</v>
      </c>
      <c r="C1352" s="5">
        <f t="shared" ca="1" si="0"/>
        <v>1.210757624748344E-2</v>
      </c>
    </row>
    <row r="1353" spans="1:3" ht="13" x14ac:dyDescent="0.15">
      <c r="A1353" s="3">
        <f ca="1">IFERROR(__xludf.DUMMYFUNCTION("""COMPUTED_VALUE"""),42402.6666666666)</f>
        <v>42402.666666666599</v>
      </c>
      <c r="B1353" s="4">
        <f ca="1">IFERROR(__xludf.DUMMYFUNCTION("""COMPUTED_VALUE"""),764.65)</f>
        <v>764.65</v>
      </c>
      <c r="C1353" s="5">
        <f t="shared" ca="1" si="0"/>
        <v>1.6681888844292423E-2</v>
      </c>
    </row>
    <row r="1354" spans="1:3" ht="13" x14ac:dyDescent="0.15">
      <c r="A1354" s="3">
        <f ca="1">IFERROR(__xludf.DUMMYFUNCTION("""COMPUTED_VALUE"""),42403.6666666666)</f>
        <v>42403.666666666599</v>
      </c>
      <c r="B1354" s="4">
        <f ca="1">IFERROR(__xludf.DUMMYFUNCTION("""COMPUTED_VALUE"""),726.95)</f>
        <v>726.95</v>
      </c>
      <c r="C1354" s="5">
        <f t="shared" ca="1" si="0"/>
        <v>-5.0560513416697678E-2</v>
      </c>
    </row>
    <row r="1355" spans="1:3" ht="13" x14ac:dyDescent="0.15">
      <c r="A1355" s="3">
        <f ca="1">IFERROR(__xludf.DUMMYFUNCTION("""COMPUTED_VALUE"""),42404.6666666666)</f>
        <v>42404.666666666599</v>
      </c>
      <c r="B1355" s="4">
        <f ca="1">IFERROR(__xludf.DUMMYFUNCTION("""COMPUTED_VALUE"""),708.01)</f>
        <v>708.01</v>
      </c>
      <c r="C1355" s="5">
        <f t="shared" ca="1" si="0"/>
        <v>-2.6399481489676527E-2</v>
      </c>
    </row>
    <row r="1356" spans="1:3" ht="13" x14ac:dyDescent="0.15">
      <c r="A1356" s="3">
        <f ca="1">IFERROR(__xludf.DUMMYFUNCTION("""COMPUTED_VALUE"""),42405.6666666666)</f>
        <v>42405.666666666599</v>
      </c>
      <c r="B1356" s="4">
        <f ca="1">IFERROR(__xludf.DUMMYFUNCTION("""COMPUTED_VALUE"""),683.57)</f>
        <v>683.57</v>
      </c>
      <c r="C1356" s="5">
        <f t="shared" ca="1" si="0"/>
        <v>-3.5129152922359394E-2</v>
      </c>
    </row>
    <row r="1357" spans="1:3" ht="13" x14ac:dyDescent="0.15">
      <c r="A1357" s="3">
        <f ca="1">IFERROR(__xludf.DUMMYFUNCTION("""COMPUTED_VALUE"""),42408.6666666666)</f>
        <v>42408.666666666599</v>
      </c>
      <c r="B1357" s="4">
        <f ca="1">IFERROR(__xludf.DUMMYFUNCTION("""COMPUTED_VALUE"""),682.74)</f>
        <v>682.74</v>
      </c>
      <c r="C1357" s="5">
        <f t="shared" ca="1" si="0"/>
        <v>-1.2149513684264861E-3</v>
      </c>
    </row>
    <row r="1358" spans="1:3" ht="13" x14ac:dyDescent="0.15">
      <c r="A1358" s="3">
        <f ca="1">IFERROR(__xludf.DUMMYFUNCTION("""COMPUTED_VALUE"""),42409.6666666666)</f>
        <v>42409.666666666599</v>
      </c>
      <c r="B1358" s="4">
        <f ca="1">IFERROR(__xludf.DUMMYFUNCTION("""COMPUTED_VALUE"""),678.11)</f>
        <v>678.11</v>
      </c>
      <c r="C1358" s="5">
        <f t="shared" ca="1" si="0"/>
        <v>-6.8045969284628487E-3</v>
      </c>
    </row>
    <row r="1359" spans="1:3" ht="13" x14ac:dyDescent="0.15">
      <c r="A1359" s="3">
        <f ca="1">IFERROR(__xludf.DUMMYFUNCTION("""COMPUTED_VALUE"""),42410.6666666666)</f>
        <v>42410.666666666599</v>
      </c>
      <c r="B1359" s="4">
        <f ca="1">IFERROR(__xludf.DUMMYFUNCTION("""COMPUTED_VALUE"""),684.12)</f>
        <v>684.12</v>
      </c>
      <c r="C1359" s="5">
        <f t="shared" ca="1" si="0"/>
        <v>8.8238241629812995E-3</v>
      </c>
    </row>
    <row r="1360" spans="1:3" ht="13" x14ac:dyDescent="0.15">
      <c r="A1360" s="3">
        <f ca="1">IFERROR(__xludf.DUMMYFUNCTION("""COMPUTED_VALUE"""),42411.6666666666)</f>
        <v>42411.666666666599</v>
      </c>
      <c r="B1360" s="4">
        <f ca="1">IFERROR(__xludf.DUMMYFUNCTION("""COMPUTED_VALUE"""),683.11)</f>
        <v>683.11</v>
      </c>
      <c r="C1360" s="5">
        <f t="shared" ca="1" si="0"/>
        <v>-1.4774400557644959E-3</v>
      </c>
    </row>
    <row r="1361" spans="1:3" ht="13" x14ac:dyDescent="0.15">
      <c r="A1361" s="3">
        <f ca="1">IFERROR(__xludf.DUMMYFUNCTION("""COMPUTED_VALUE"""),42412.6666666666)</f>
        <v>42412.666666666599</v>
      </c>
      <c r="B1361" s="4">
        <f ca="1">IFERROR(__xludf.DUMMYFUNCTION("""COMPUTED_VALUE"""),682.4)</f>
        <v>682.4</v>
      </c>
      <c r="C1361" s="5">
        <f t="shared" ca="1" si="0"/>
        <v>-1.0399045982569923E-3</v>
      </c>
    </row>
    <row r="1362" spans="1:3" ht="13" x14ac:dyDescent="0.15">
      <c r="A1362" s="3">
        <f ca="1">IFERROR(__xludf.DUMMYFUNCTION("""COMPUTED_VALUE"""),42416.6666666666)</f>
        <v>42416.666666666599</v>
      </c>
      <c r="B1362" s="4">
        <f ca="1">IFERROR(__xludf.DUMMYFUNCTION("""COMPUTED_VALUE"""),691)</f>
        <v>691</v>
      </c>
      <c r="C1362" s="5">
        <f t="shared" ca="1" si="0"/>
        <v>1.2523827590200667E-2</v>
      </c>
    </row>
    <row r="1363" spans="1:3" ht="13" x14ac:dyDescent="0.15">
      <c r="A1363" s="3">
        <f ca="1">IFERROR(__xludf.DUMMYFUNCTION("""COMPUTED_VALUE"""),42417.6666666666)</f>
        <v>42417.666666666599</v>
      </c>
      <c r="B1363" s="4">
        <f ca="1">IFERROR(__xludf.DUMMYFUNCTION("""COMPUTED_VALUE"""),708.4)</f>
        <v>708.4</v>
      </c>
      <c r="C1363" s="5">
        <f t="shared" ca="1" si="0"/>
        <v>2.4869082141008553E-2</v>
      </c>
    </row>
    <row r="1364" spans="1:3" ht="13" x14ac:dyDescent="0.15">
      <c r="A1364" s="3">
        <f ca="1">IFERROR(__xludf.DUMMYFUNCTION("""COMPUTED_VALUE"""),42418.6666666666)</f>
        <v>42418.666666666599</v>
      </c>
      <c r="B1364" s="4">
        <f ca="1">IFERROR(__xludf.DUMMYFUNCTION("""COMPUTED_VALUE"""),697.35)</f>
        <v>697.35</v>
      </c>
      <c r="C1364" s="5">
        <f t="shared" ca="1" si="0"/>
        <v>-1.5721469103974938E-2</v>
      </c>
    </row>
    <row r="1365" spans="1:3" ht="13" x14ac:dyDescent="0.15">
      <c r="A1365" s="3">
        <f ca="1">IFERROR(__xludf.DUMMYFUNCTION("""COMPUTED_VALUE"""),42419.6666666666)</f>
        <v>42419.666666666599</v>
      </c>
      <c r="B1365" s="4">
        <f ca="1">IFERROR(__xludf.DUMMYFUNCTION("""COMPUTED_VALUE"""),700.91)</f>
        <v>700.91</v>
      </c>
      <c r="C1365" s="5">
        <f t="shared" ca="1" si="0"/>
        <v>5.092053970321214E-3</v>
      </c>
    </row>
    <row r="1366" spans="1:3" ht="13" x14ac:dyDescent="0.15">
      <c r="A1366" s="3">
        <f ca="1">IFERROR(__xludf.DUMMYFUNCTION("""COMPUTED_VALUE"""),42422.6666666666)</f>
        <v>42422.666666666599</v>
      </c>
      <c r="B1366" s="4">
        <f ca="1">IFERROR(__xludf.DUMMYFUNCTION("""COMPUTED_VALUE"""),706.46)</f>
        <v>706.46</v>
      </c>
      <c r="C1366" s="5">
        <f t="shared" ca="1" si="0"/>
        <v>7.8870926200666942E-3</v>
      </c>
    </row>
    <row r="1367" spans="1:3" ht="13" x14ac:dyDescent="0.15">
      <c r="A1367" s="3">
        <f ca="1">IFERROR(__xludf.DUMMYFUNCTION("""COMPUTED_VALUE"""),42423.6666666666)</f>
        <v>42423.666666666599</v>
      </c>
      <c r="B1367" s="4">
        <f ca="1">IFERROR(__xludf.DUMMYFUNCTION("""COMPUTED_VALUE"""),695.85)</f>
        <v>695.85</v>
      </c>
      <c r="C1367" s="5">
        <f t="shared" ca="1" si="0"/>
        <v>-1.5132463529228899E-2</v>
      </c>
    </row>
    <row r="1368" spans="1:3" ht="13" x14ac:dyDescent="0.15">
      <c r="A1368" s="3">
        <f ca="1">IFERROR(__xludf.DUMMYFUNCTION("""COMPUTED_VALUE"""),42424.6666666666)</f>
        <v>42424.666666666599</v>
      </c>
      <c r="B1368" s="4">
        <f ca="1">IFERROR(__xludf.DUMMYFUNCTION("""COMPUTED_VALUE"""),699.56)</f>
        <v>699.56</v>
      </c>
      <c r="C1368" s="5">
        <f t="shared" ca="1" si="0"/>
        <v>5.3174461151281145E-3</v>
      </c>
    </row>
    <row r="1369" spans="1:3" ht="13" x14ac:dyDescent="0.15">
      <c r="A1369" s="3">
        <f ca="1">IFERROR(__xludf.DUMMYFUNCTION("""COMPUTED_VALUE"""),42425.6666666666)</f>
        <v>42425.666666666599</v>
      </c>
      <c r="B1369" s="4">
        <f ca="1">IFERROR(__xludf.DUMMYFUNCTION("""COMPUTED_VALUE"""),705.75)</f>
        <v>705.75</v>
      </c>
      <c r="C1369" s="5">
        <f t="shared" ca="1" si="0"/>
        <v>8.8095011526082775E-3</v>
      </c>
    </row>
    <row r="1370" spans="1:3" ht="13" x14ac:dyDescent="0.15">
      <c r="A1370" s="3">
        <f ca="1">IFERROR(__xludf.DUMMYFUNCTION("""COMPUTED_VALUE"""),42426.6666666666)</f>
        <v>42426.666666666599</v>
      </c>
      <c r="B1370" s="4">
        <f ca="1">IFERROR(__xludf.DUMMYFUNCTION("""COMPUTED_VALUE"""),705.07)</f>
        <v>705.07</v>
      </c>
      <c r="C1370" s="5">
        <f t="shared" ca="1" si="0"/>
        <v>-9.6397847019142561E-4</v>
      </c>
    </row>
    <row r="1371" spans="1:3" ht="13" x14ac:dyDescent="0.15">
      <c r="A1371" s="3">
        <f ca="1">IFERROR(__xludf.DUMMYFUNCTION("""COMPUTED_VALUE"""),42429.6666666666)</f>
        <v>42429.666666666599</v>
      </c>
      <c r="B1371" s="4">
        <f ca="1">IFERROR(__xludf.DUMMYFUNCTION("""COMPUTED_VALUE"""),697.77)</f>
        <v>697.77</v>
      </c>
      <c r="C1371" s="5">
        <f t="shared" ca="1" si="0"/>
        <v>-1.0407553096320301E-2</v>
      </c>
    </row>
    <row r="1372" spans="1:3" ht="13" x14ac:dyDescent="0.15">
      <c r="A1372" s="3">
        <f ca="1">IFERROR(__xludf.DUMMYFUNCTION("""COMPUTED_VALUE"""),42430.6666666666)</f>
        <v>42430.666666666599</v>
      </c>
      <c r="B1372" s="4">
        <f ca="1">IFERROR(__xludf.DUMMYFUNCTION("""COMPUTED_VALUE"""),718.81)</f>
        <v>718.81</v>
      </c>
      <c r="C1372" s="5">
        <f t="shared" ca="1" si="0"/>
        <v>2.9707531321226537E-2</v>
      </c>
    </row>
    <row r="1373" spans="1:3" ht="13" x14ac:dyDescent="0.15">
      <c r="A1373" s="3">
        <f ca="1">IFERROR(__xludf.DUMMYFUNCTION("""COMPUTED_VALUE"""),42431.6666666666)</f>
        <v>42431.666666666599</v>
      </c>
      <c r="B1373" s="4">
        <f ca="1">IFERROR(__xludf.DUMMYFUNCTION("""COMPUTED_VALUE"""),718.85)</f>
        <v>718.85</v>
      </c>
      <c r="C1373" s="5">
        <f t="shared" ca="1" si="0"/>
        <v>5.5645980287968692E-5</v>
      </c>
    </row>
    <row r="1374" spans="1:3" ht="13" x14ac:dyDescent="0.15">
      <c r="A1374" s="3">
        <f ca="1">IFERROR(__xludf.DUMMYFUNCTION("""COMPUTED_VALUE"""),42432.6666666666)</f>
        <v>42432.666666666599</v>
      </c>
      <c r="B1374" s="4">
        <f ca="1">IFERROR(__xludf.DUMMYFUNCTION("""COMPUTED_VALUE"""),712.42)</f>
        <v>712.42</v>
      </c>
      <c r="C1374" s="5">
        <f t="shared" ca="1" si="0"/>
        <v>-8.9850877315002867E-3</v>
      </c>
    </row>
    <row r="1375" spans="1:3" ht="13" x14ac:dyDescent="0.15">
      <c r="A1375" s="3">
        <f ca="1">IFERROR(__xludf.DUMMYFUNCTION("""COMPUTED_VALUE"""),42433.6666666666)</f>
        <v>42433.666666666599</v>
      </c>
      <c r="B1375" s="4">
        <f ca="1">IFERROR(__xludf.DUMMYFUNCTION("""COMPUTED_VALUE"""),710.89)</f>
        <v>710.89</v>
      </c>
      <c r="C1375" s="5">
        <f t="shared" ca="1" si="0"/>
        <v>-2.1499189766449578E-3</v>
      </c>
    </row>
    <row r="1376" spans="1:3" ht="13" x14ac:dyDescent="0.15">
      <c r="A1376" s="3">
        <f ca="1">IFERROR(__xludf.DUMMYFUNCTION("""COMPUTED_VALUE"""),42436.6666666666)</f>
        <v>42436.666666666599</v>
      </c>
      <c r="B1376" s="4">
        <f ca="1">IFERROR(__xludf.DUMMYFUNCTION("""COMPUTED_VALUE"""),695.16)</f>
        <v>695.16</v>
      </c>
      <c r="C1376" s="5">
        <f t="shared" ca="1" si="0"/>
        <v>-2.2375671263923331E-2</v>
      </c>
    </row>
    <row r="1377" spans="1:3" ht="13" x14ac:dyDescent="0.15">
      <c r="A1377" s="3">
        <f ca="1">IFERROR(__xludf.DUMMYFUNCTION("""COMPUTED_VALUE"""),42437.6666666666)</f>
        <v>42437.666666666599</v>
      </c>
      <c r="B1377" s="4">
        <f ca="1">IFERROR(__xludf.DUMMYFUNCTION("""COMPUTED_VALUE"""),693.97)</f>
        <v>693.97</v>
      </c>
      <c r="C1377" s="5">
        <f t="shared" ca="1" si="0"/>
        <v>-1.7133029897769972E-3</v>
      </c>
    </row>
    <row r="1378" spans="1:3" ht="13" x14ac:dyDescent="0.15">
      <c r="A1378" s="3">
        <f ca="1">IFERROR(__xludf.DUMMYFUNCTION("""COMPUTED_VALUE"""),42438.6666666666)</f>
        <v>42438.666666666599</v>
      </c>
      <c r="B1378" s="4">
        <f ca="1">IFERROR(__xludf.DUMMYFUNCTION("""COMPUTED_VALUE"""),705.24)</f>
        <v>705.24</v>
      </c>
      <c r="C1378" s="5">
        <f t="shared" ca="1" si="0"/>
        <v>1.6109438505803427E-2</v>
      </c>
    </row>
    <row r="1379" spans="1:3" ht="13" x14ac:dyDescent="0.15">
      <c r="A1379" s="3">
        <f ca="1">IFERROR(__xludf.DUMMYFUNCTION("""COMPUTED_VALUE"""),42439.6666666666)</f>
        <v>42439.666666666599</v>
      </c>
      <c r="B1379" s="4">
        <f ca="1">IFERROR(__xludf.DUMMYFUNCTION("""COMPUTED_VALUE"""),712.82)</f>
        <v>712.82</v>
      </c>
      <c r="C1379" s="5">
        <f t="shared" ca="1" si="0"/>
        <v>1.0690763711803565E-2</v>
      </c>
    </row>
    <row r="1380" spans="1:3" ht="13" x14ac:dyDescent="0.15">
      <c r="A1380" s="3">
        <f ca="1">IFERROR(__xludf.DUMMYFUNCTION("""COMPUTED_VALUE"""),42440.6666666666)</f>
        <v>42440.666666666599</v>
      </c>
      <c r="B1380" s="4">
        <f ca="1">IFERROR(__xludf.DUMMYFUNCTION("""COMPUTED_VALUE"""),726.82)</f>
        <v>726.82</v>
      </c>
      <c r="C1380" s="5">
        <f t="shared" ca="1" si="0"/>
        <v>1.9449919905669497E-2</v>
      </c>
    </row>
    <row r="1381" spans="1:3" ht="13" x14ac:dyDescent="0.15">
      <c r="A1381" s="3">
        <f ca="1">IFERROR(__xludf.DUMMYFUNCTION("""COMPUTED_VALUE"""),42443.6666666666)</f>
        <v>42443.666666666599</v>
      </c>
      <c r="B1381" s="4">
        <f ca="1">IFERROR(__xludf.DUMMYFUNCTION("""COMPUTED_VALUE"""),730.49)</f>
        <v>730.49</v>
      </c>
      <c r="C1381" s="5">
        <f t="shared" ca="1" si="0"/>
        <v>5.0366878130874114E-3</v>
      </c>
    </row>
    <row r="1382" spans="1:3" ht="13" x14ac:dyDescent="0.15">
      <c r="A1382" s="3">
        <f ca="1">IFERROR(__xludf.DUMMYFUNCTION("""COMPUTED_VALUE"""),42444.6666666666)</f>
        <v>42444.666666666599</v>
      </c>
      <c r="B1382" s="4">
        <f ca="1">IFERROR(__xludf.DUMMYFUNCTION("""COMPUTED_VALUE"""),728.33)</f>
        <v>728.33</v>
      </c>
      <c r="C1382" s="5">
        <f t="shared" ca="1" si="0"/>
        <v>-2.9612996510507473E-3</v>
      </c>
    </row>
    <row r="1383" spans="1:3" ht="13" x14ac:dyDescent="0.15">
      <c r="A1383" s="3">
        <f ca="1">IFERROR(__xludf.DUMMYFUNCTION("""COMPUTED_VALUE"""),42445.6666666666)</f>
        <v>42445.666666666599</v>
      </c>
      <c r="B1383" s="4">
        <f ca="1">IFERROR(__xludf.DUMMYFUNCTION("""COMPUTED_VALUE"""),736.09)</f>
        <v>736.09</v>
      </c>
      <c r="C1383" s="5">
        <f t="shared" ca="1" si="0"/>
        <v>1.0598151669594116E-2</v>
      </c>
    </row>
    <row r="1384" spans="1:3" ht="13" x14ac:dyDescent="0.15">
      <c r="A1384" s="3">
        <f ca="1">IFERROR(__xludf.DUMMYFUNCTION("""COMPUTED_VALUE"""),42446.6666666666)</f>
        <v>42446.666666666599</v>
      </c>
      <c r="B1384" s="4">
        <f ca="1">IFERROR(__xludf.DUMMYFUNCTION("""COMPUTED_VALUE"""),737.78)</f>
        <v>737.78</v>
      </c>
      <c r="C1384" s="5">
        <f t="shared" ca="1" si="0"/>
        <v>2.2932833162535166E-3</v>
      </c>
    </row>
    <row r="1385" spans="1:3" ht="13" x14ac:dyDescent="0.15">
      <c r="A1385" s="3">
        <f ca="1">IFERROR(__xludf.DUMMYFUNCTION("""COMPUTED_VALUE"""),42447.6666666666)</f>
        <v>42447.666666666599</v>
      </c>
      <c r="B1385" s="4">
        <f ca="1">IFERROR(__xludf.DUMMYFUNCTION("""COMPUTED_VALUE"""),737.6)</f>
        <v>737.6</v>
      </c>
      <c r="C1385" s="5">
        <f t="shared" ca="1" si="0"/>
        <v>-2.4400493553256296E-4</v>
      </c>
    </row>
    <row r="1386" spans="1:3" ht="13" x14ac:dyDescent="0.15">
      <c r="A1386" s="3">
        <f ca="1">IFERROR(__xludf.DUMMYFUNCTION("""COMPUTED_VALUE"""),42450.6666666666)</f>
        <v>42450.666666666599</v>
      </c>
      <c r="B1386" s="4">
        <f ca="1">IFERROR(__xludf.DUMMYFUNCTION("""COMPUTED_VALUE"""),742.09)</f>
        <v>742.09</v>
      </c>
      <c r="C1386" s="5">
        <f t="shared" ca="1" si="0"/>
        <v>6.0688573700371281E-3</v>
      </c>
    </row>
    <row r="1387" spans="1:3" ht="13" x14ac:dyDescent="0.15">
      <c r="A1387" s="3">
        <f ca="1">IFERROR(__xludf.DUMMYFUNCTION("""COMPUTED_VALUE"""),42451.6666666666)</f>
        <v>42451.666666666599</v>
      </c>
      <c r="B1387" s="4">
        <f ca="1">IFERROR(__xludf.DUMMYFUNCTION("""COMPUTED_VALUE"""),740.75)</f>
        <v>740.75</v>
      </c>
      <c r="C1387" s="5">
        <f t="shared" ca="1" si="0"/>
        <v>-1.8073431587467077E-3</v>
      </c>
    </row>
    <row r="1388" spans="1:3" ht="13" x14ac:dyDescent="0.15">
      <c r="A1388" s="3">
        <f ca="1">IFERROR(__xludf.DUMMYFUNCTION("""COMPUTED_VALUE"""),42452.6666666666)</f>
        <v>42452.666666666599</v>
      </c>
      <c r="B1388" s="4">
        <f ca="1">IFERROR(__xludf.DUMMYFUNCTION("""COMPUTED_VALUE"""),738.06)</f>
        <v>738.06</v>
      </c>
      <c r="C1388" s="5">
        <f t="shared" ca="1" si="0"/>
        <v>-3.638064344926026E-3</v>
      </c>
    </row>
    <row r="1389" spans="1:3" ht="13" x14ac:dyDescent="0.15">
      <c r="A1389" s="3">
        <f ca="1">IFERROR(__xludf.DUMMYFUNCTION("""COMPUTED_VALUE"""),42453.6666666666)</f>
        <v>42453.666666666599</v>
      </c>
      <c r="B1389" s="4">
        <f ca="1">IFERROR(__xludf.DUMMYFUNCTION("""COMPUTED_VALUE"""),735.3)</f>
        <v>735.3</v>
      </c>
      <c r="C1389" s="5">
        <f t="shared" ca="1" si="0"/>
        <v>-3.7465429065720772E-3</v>
      </c>
    </row>
    <row r="1390" spans="1:3" ht="13" x14ac:dyDescent="0.15">
      <c r="A1390" s="3">
        <f ca="1">IFERROR(__xludf.DUMMYFUNCTION("""COMPUTED_VALUE"""),42457.6666666666)</f>
        <v>42457.666666666599</v>
      </c>
      <c r="B1390" s="4">
        <f ca="1">IFERROR(__xludf.DUMMYFUNCTION("""COMPUTED_VALUE"""),733.53)</f>
        <v>733.53</v>
      </c>
      <c r="C1390" s="5">
        <f t="shared" ca="1" si="0"/>
        <v>-2.4100826600130065E-3</v>
      </c>
    </row>
    <row r="1391" spans="1:3" ht="13" x14ac:dyDescent="0.15">
      <c r="A1391" s="3">
        <f ca="1">IFERROR(__xludf.DUMMYFUNCTION("""COMPUTED_VALUE"""),42458.6666666666)</f>
        <v>42458.666666666599</v>
      </c>
      <c r="B1391" s="4">
        <f ca="1">IFERROR(__xludf.DUMMYFUNCTION("""COMPUTED_VALUE"""),744.77)</f>
        <v>744.77</v>
      </c>
      <c r="C1391" s="5">
        <f t="shared" ca="1" si="0"/>
        <v>1.5206949339859529E-2</v>
      </c>
    </row>
    <row r="1392" spans="1:3" ht="13" x14ac:dyDescent="0.15">
      <c r="A1392" s="3">
        <f ca="1">IFERROR(__xludf.DUMMYFUNCTION("""COMPUTED_VALUE"""),42459.6666666666)</f>
        <v>42459.666666666599</v>
      </c>
      <c r="B1392" s="4">
        <f ca="1">IFERROR(__xludf.DUMMYFUNCTION("""COMPUTED_VALUE"""),750.53)</f>
        <v>750.53</v>
      </c>
      <c r="C1392" s="5">
        <f t="shared" ca="1" si="0"/>
        <v>7.704177743679555E-3</v>
      </c>
    </row>
    <row r="1393" spans="1:3" ht="13" x14ac:dyDescent="0.15">
      <c r="A1393" s="3">
        <f ca="1">IFERROR(__xludf.DUMMYFUNCTION("""COMPUTED_VALUE"""),42460.6666666666)</f>
        <v>42460.666666666599</v>
      </c>
      <c r="B1393" s="4">
        <f ca="1">IFERROR(__xludf.DUMMYFUNCTION("""COMPUTED_VALUE"""),744.95)</f>
        <v>744.95</v>
      </c>
      <c r="C1393" s="5">
        <f t="shared" ca="1" si="0"/>
        <v>-7.4625215923544621E-3</v>
      </c>
    </row>
    <row r="1394" spans="1:3" ht="13" x14ac:dyDescent="0.15">
      <c r="A1394" s="3">
        <f ca="1">IFERROR(__xludf.DUMMYFUNCTION("""COMPUTED_VALUE"""),42461.6666666666)</f>
        <v>42461.666666666599</v>
      </c>
      <c r="B1394" s="4">
        <f ca="1">IFERROR(__xludf.DUMMYFUNCTION("""COMPUTED_VALUE"""),749.91)</f>
        <v>749.91</v>
      </c>
      <c r="C1394" s="5">
        <f t="shared" ca="1" si="0"/>
        <v>6.6360972964318535E-3</v>
      </c>
    </row>
    <row r="1395" spans="1:3" ht="13" x14ac:dyDescent="0.15">
      <c r="A1395" s="3">
        <f ca="1">IFERROR(__xludf.DUMMYFUNCTION("""COMPUTED_VALUE"""),42464.6666666666)</f>
        <v>42464.666666666599</v>
      </c>
      <c r="B1395" s="4">
        <f ca="1">IFERROR(__xludf.DUMMYFUNCTION("""COMPUTED_VALUE"""),745.29)</f>
        <v>745.29</v>
      </c>
      <c r="C1395" s="5">
        <f t="shared" ca="1" si="0"/>
        <v>-6.1797949479519641E-3</v>
      </c>
    </row>
    <row r="1396" spans="1:3" ht="13" x14ac:dyDescent="0.15">
      <c r="A1396" s="3">
        <f ca="1">IFERROR(__xludf.DUMMYFUNCTION("""COMPUTED_VALUE"""),42465.6666666666)</f>
        <v>42465.666666666599</v>
      </c>
      <c r="B1396" s="4">
        <f ca="1">IFERROR(__xludf.DUMMYFUNCTION("""COMPUTED_VALUE"""),737.8)</f>
        <v>737.8</v>
      </c>
      <c r="C1396" s="5">
        <f t="shared" ca="1" si="0"/>
        <v>-1.0100619219252838E-2</v>
      </c>
    </row>
    <row r="1397" spans="1:3" ht="13" x14ac:dyDescent="0.15">
      <c r="A1397" s="3">
        <f ca="1">IFERROR(__xludf.DUMMYFUNCTION("""COMPUTED_VALUE"""),42466.6666666666)</f>
        <v>42466.666666666599</v>
      </c>
      <c r="B1397" s="4">
        <f ca="1">IFERROR(__xludf.DUMMYFUNCTION("""COMPUTED_VALUE"""),745.69)</f>
        <v>745.69</v>
      </c>
      <c r="C1397" s="5">
        <f t="shared" ca="1" si="0"/>
        <v>1.0637179078669763E-2</v>
      </c>
    </row>
    <row r="1398" spans="1:3" ht="13" x14ac:dyDescent="0.15">
      <c r="A1398" s="3">
        <f ca="1">IFERROR(__xludf.DUMMYFUNCTION("""COMPUTED_VALUE"""),42467.6666666666)</f>
        <v>42467.666666666599</v>
      </c>
      <c r="B1398" s="4">
        <f ca="1">IFERROR(__xludf.DUMMYFUNCTION("""COMPUTED_VALUE"""),740.28)</f>
        <v>740.28</v>
      </c>
      <c r="C1398" s="5">
        <f t="shared" ca="1" si="0"/>
        <v>-7.2814712316973344E-3</v>
      </c>
    </row>
    <row r="1399" spans="1:3" ht="13" x14ac:dyDescent="0.15">
      <c r="A1399" s="3">
        <f ca="1">IFERROR(__xludf.DUMMYFUNCTION("""COMPUTED_VALUE"""),42468.6666666666)</f>
        <v>42468.666666666599</v>
      </c>
      <c r="B1399" s="4">
        <f ca="1">IFERROR(__xludf.DUMMYFUNCTION("""COMPUTED_VALUE"""),739.15)</f>
        <v>739.15</v>
      </c>
      <c r="C1399" s="5">
        <f t="shared" ca="1" si="0"/>
        <v>-1.5276156624487033E-3</v>
      </c>
    </row>
    <row r="1400" spans="1:3" ht="13" x14ac:dyDescent="0.15">
      <c r="A1400" s="3">
        <f ca="1">IFERROR(__xludf.DUMMYFUNCTION("""COMPUTED_VALUE"""),42471.6666666666)</f>
        <v>42471.666666666599</v>
      </c>
      <c r="B1400" s="4">
        <f ca="1">IFERROR(__xludf.DUMMYFUNCTION("""COMPUTED_VALUE"""),736.1)</f>
        <v>736.1</v>
      </c>
      <c r="C1400" s="5">
        <f t="shared" ca="1" si="0"/>
        <v>-4.1348982824385922E-3</v>
      </c>
    </row>
    <row r="1401" spans="1:3" ht="13" x14ac:dyDescent="0.15">
      <c r="A1401" s="3">
        <f ca="1">IFERROR(__xludf.DUMMYFUNCTION("""COMPUTED_VALUE"""),42472.6666666666)</f>
        <v>42472.666666666599</v>
      </c>
      <c r="B1401" s="4">
        <f ca="1">IFERROR(__xludf.DUMMYFUNCTION("""COMPUTED_VALUE"""),743.09)</f>
        <v>743.09</v>
      </c>
      <c r="C1401" s="5">
        <f t="shared" ca="1" si="0"/>
        <v>9.4511888692030855E-3</v>
      </c>
    </row>
    <row r="1402" spans="1:3" ht="13" x14ac:dyDescent="0.15">
      <c r="A1402" s="3">
        <f ca="1">IFERROR(__xludf.DUMMYFUNCTION("""COMPUTED_VALUE"""),42473.6666666666)</f>
        <v>42473.666666666599</v>
      </c>
      <c r="B1402" s="4">
        <f ca="1">IFERROR(__xludf.DUMMYFUNCTION("""COMPUTED_VALUE"""),751.72)</f>
        <v>751.72</v>
      </c>
      <c r="C1402" s="5">
        <f t="shared" ca="1" si="0"/>
        <v>1.1546746254536919E-2</v>
      </c>
    </row>
    <row r="1403" spans="1:3" ht="13" x14ac:dyDescent="0.15">
      <c r="A1403" s="3">
        <f ca="1">IFERROR(__xludf.DUMMYFUNCTION("""COMPUTED_VALUE"""),42474.6666666666)</f>
        <v>42474.666666666599</v>
      </c>
      <c r="B1403" s="4">
        <f ca="1">IFERROR(__xludf.DUMMYFUNCTION("""COMPUTED_VALUE"""),753.2)</f>
        <v>753.2</v>
      </c>
      <c r="C1403" s="5">
        <f t="shared" ca="1" si="0"/>
        <v>1.9668825945972656E-3</v>
      </c>
    </row>
    <row r="1404" spans="1:3" ht="13" x14ac:dyDescent="0.15">
      <c r="A1404" s="3">
        <f ca="1">IFERROR(__xludf.DUMMYFUNCTION("""COMPUTED_VALUE"""),42475.6666666666)</f>
        <v>42475.666666666599</v>
      </c>
      <c r="B1404" s="4">
        <f ca="1">IFERROR(__xludf.DUMMYFUNCTION("""COMPUTED_VALUE"""),759)</f>
        <v>759</v>
      </c>
      <c r="C1404" s="5">
        <f t="shared" ca="1" si="0"/>
        <v>7.6709806126326286E-3</v>
      </c>
    </row>
    <row r="1405" spans="1:3" ht="13" x14ac:dyDescent="0.15">
      <c r="A1405" s="3">
        <f ca="1">IFERROR(__xludf.DUMMYFUNCTION("""COMPUTED_VALUE"""),42478.6666666666)</f>
        <v>42478.666666666599</v>
      </c>
      <c r="B1405" s="4">
        <f ca="1">IFERROR(__xludf.DUMMYFUNCTION("""COMPUTED_VALUE"""),766.61)</f>
        <v>766.61</v>
      </c>
      <c r="C1405" s="5">
        <f t="shared" ca="1" si="0"/>
        <v>9.9764200783195988E-3</v>
      </c>
    </row>
    <row r="1406" spans="1:3" ht="13" x14ac:dyDescent="0.15">
      <c r="A1406" s="3">
        <f ca="1">IFERROR(__xludf.DUMMYFUNCTION("""COMPUTED_VALUE"""),42479.6666666666)</f>
        <v>42479.666666666599</v>
      </c>
      <c r="B1406" s="4">
        <f ca="1">IFERROR(__xludf.DUMMYFUNCTION("""COMPUTED_VALUE"""),753.93)</f>
        <v>753.93</v>
      </c>
      <c r="C1406" s="5">
        <f t="shared" ca="1" si="0"/>
        <v>-1.6678671972012036E-2</v>
      </c>
    </row>
    <row r="1407" spans="1:3" ht="13" x14ac:dyDescent="0.15">
      <c r="A1407" s="3">
        <f ca="1">IFERROR(__xludf.DUMMYFUNCTION("""COMPUTED_VALUE"""),42480.6666666666)</f>
        <v>42480.666666666599</v>
      </c>
      <c r="B1407" s="4">
        <f ca="1">IFERROR(__xludf.DUMMYFUNCTION("""COMPUTED_VALUE"""),752.67)</f>
        <v>752.67</v>
      </c>
      <c r="C1407" s="5">
        <f t="shared" ca="1" si="0"/>
        <v>-1.6726407722836975E-3</v>
      </c>
    </row>
    <row r="1408" spans="1:3" ht="13" x14ac:dyDescent="0.15">
      <c r="A1408" s="3">
        <f ca="1">IFERROR(__xludf.DUMMYFUNCTION("""COMPUTED_VALUE"""),42481.6666666666)</f>
        <v>42481.666666666599</v>
      </c>
      <c r="B1408" s="4">
        <f ca="1">IFERROR(__xludf.DUMMYFUNCTION("""COMPUTED_VALUE"""),759.14)</f>
        <v>759.14</v>
      </c>
      <c r="C1408" s="5">
        <f t="shared" ca="1" si="0"/>
        <v>8.5593288845026774E-3</v>
      </c>
    </row>
    <row r="1409" spans="1:3" ht="13" x14ac:dyDescent="0.15">
      <c r="A1409" s="3">
        <f ca="1">IFERROR(__xludf.DUMMYFUNCTION("""COMPUTED_VALUE"""),42482.6666666666)</f>
        <v>42482.666666666599</v>
      </c>
      <c r="B1409" s="4">
        <f ca="1">IFERROR(__xludf.DUMMYFUNCTION("""COMPUTED_VALUE"""),718.77)</f>
        <v>718.77</v>
      </c>
      <c r="C1409" s="5">
        <f t="shared" ca="1" si="0"/>
        <v>-5.4644795802777979E-2</v>
      </c>
    </row>
    <row r="1410" spans="1:3" ht="13" x14ac:dyDescent="0.15">
      <c r="A1410" s="3">
        <f ca="1">IFERROR(__xludf.DUMMYFUNCTION("""COMPUTED_VALUE"""),42485.6666666666)</f>
        <v>42485.666666666599</v>
      </c>
      <c r="B1410" s="4">
        <f ca="1">IFERROR(__xludf.DUMMYFUNCTION("""COMPUTED_VALUE"""),723.15)</f>
        <v>723.15</v>
      </c>
      <c r="C1410" s="5">
        <f t="shared" ca="1" si="0"/>
        <v>6.0752517083625659E-3</v>
      </c>
    </row>
    <row r="1411" spans="1:3" ht="13" x14ac:dyDescent="0.15">
      <c r="A1411" s="3">
        <f ca="1">IFERROR(__xludf.DUMMYFUNCTION("""COMPUTED_VALUE"""),42486.6666666666)</f>
        <v>42486.666666666599</v>
      </c>
      <c r="B1411" s="4">
        <f ca="1">IFERROR(__xludf.DUMMYFUNCTION("""COMPUTED_VALUE"""),708.14)</f>
        <v>708.14</v>
      </c>
      <c r="C1411" s="5">
        <f t="shared" ca="1" si="0"/>
        <v>-2.0974855261026087E-2</v>
      </c>
    </row>
    <row r="1412" spans="1:3" ht="13" x14ac:dyDescent="0.15">
      <c r="A1412" s="3">
        <f ca="1">IFERROR(__xludf.DUMMYFUNCTION("""COMPUTED_VALUE"""),42487.6666666666)</f>
        <v>42487.666666666599</v>
      </c>
      <c r="B1412" s="4">
        <f ca="1">IFERROR(__xludf.DUMMYFUNCTION("""COMPUTED_VALUE"""),705.84)</f>
        <v>705.84</v>
      </c>
      <c r="C1412" s="5">
        <f t="shared" ca="1" si="0"/>
        <v>-3.2532313448654943E-3</v>
      </c>
    </row>
    <row r="1413" spans="1:3" ht="13" x14ac:dyDescent="0.15">
      <c r="A1413" s="3">
        <f ca="1">IFERROR(__xludf.DUMMYFUNCTION("""COMPUTED_VALUE"""),42488.6666666666)</f>
        <v>42488.666666666599</v>
      </c>
      <c r="B1413" s="4">
        <f ca="1">IFERROR(__xludf.DUMMYFUNCTION("""COMPUTED_VALUE"""),691.02)</f>
        <v>691.02</v>
      </c>
      <c r="C1413" s="5">
        <f t="shared" ca="1" si="0"/>
        <v>-2.1219816004978326E-2</v>
      </c>
    </row>
    <row r="1414" spans="1:3" ht="13" x14ac:dyDescent="0.15">
      <c r="A1414" s="3">
        <f ca="1">IFERROR(__xludf.DUMMYFUNCTION("""COMPUTED_VALUE"""),42489.6666666666)</f>
        <v>42489.666666666599</v>
      </c>
      <c r="B1414" s="4">
        <f ca="1">IFERROR(__xludf.DUMMYFUNCTION("""COMPUTED_VALUE"""),693.01)</f>
        <v>693.01</v>
      </c>
      <c r="C1414" s="5">
        <f t="shared" ca="1" si="0"/>
        <v>2.8756621913505918E-3</v>
      </c>
    </row>
    <row r="1415" spans="1:3" ht="13" x14ac:dyDescent="0.15">
      <c r="A1415" s="3">
        <f ca="1">IFERROR(__xludf.DUMMYFUNCTION("""COMPUTED_VALUE"""),42492.6666666666)</f>
        <v>42492.666666666599</v>
      </c>
      <c r="B1415" s="4">
        <f ca="1">IFERROR(__xludf.DUMMYFUNCTION("""COMPUTED_VALUE"""),698.21)</f>
        <v>698.21</v>
      </c>
      <c r="C1415" s="5">
        <f t="shared" ca="1" si="0"/>
        <v>7.4754880118312267E-3</v>
      </c>
    </row>
    <row r="1416" spans="1:3" ht="13" x14ac:dyDescent="0.15">
      <c r="A1416" s="3">
        <f ca="1">IFERROR(__xludf.DUMMYFUNCTION("""COMPUTED_VALUE"""),42493.6666666666)</f>
        <v>42493.666666666599</v>
      </c>
      <c r="B1416" s="4">
        <f ca="1">IFERROR(__xludf.DUMMYFUNCTION("""COMPUTED_VALUE"""),692.36)</f>
        <v>692.36</v>
      </c>
      <c r="C1416" s="5">
        <f t="shared" ca="1" si="0"/>
        <v>-8.4138655538547377E-3</v>
      </c>
    </row>
    <row r="1417" spans="1:3" ht="13" x14ac:dyDescent="0.15">
      <c r="A1417" s="3">
        <f ca="1">IFERROR(__xludf.DUMMYFUNCTION("""COMPUTED_VALUE"""),42494.6666666666)</f>
        <v>42494.666666666599</v>
      </c>
      <c r="B1417" s="4">
        <f ca="1">IFERROR(__xludf.DUMMYFUNCTION("""COMPUTED_VALUE"""),695.7)</f>
        <v>695.7</v>
      </c>
      <c r="C1417" s="5">
        <f t="shared" ca="1" si="0"/>
        <v>4.8124813713976569E-3</v>
      </c>
    </row>
    <row r="1418" spans="1:3" ht="13" x14ac:dyDescent="0.15">
      <c r="A1418" s="3">
        <f ca="1">IFERROR(__xludf.DUMMYFUNCTION("""COMPUTED_VALUE"""),42495.6666666666)</f>
        <v>42495.666666666599</v>
      </c>
      <c r="B1418" s="4">
        <f ca="1">IFERROR(__xludf.DUMMYFUNCTION("""COMPUTED_VALUE"""),701.43)</f>
        <v>701.43</v>
      </c>
      <c r="C1418" s="5">
        <f t="shared" ca="1" si="0"/>
        <v>8.2025754614610553E-3</v>
      </c>
    </row>
    <row r="1419" spans="1:3" ht="13" x14ac:dyDescent="0.15">
      <c r="A1419" s="3">
        <f ca="1">IFERROR(__xludf.DUMMYFUNCTION("""COMPUTED_VALUE"""),42496.6666666666)</f>
        <v>42496.666666666599</v>
      </c>
      <c r="B1419" s="4">
        <f ca="1">IFERROR(__xludf.DUMMYFUNCTION("""COMPUTED_VALUE"""),711.12)</f>
        <v>711.12</v>
      </c>
      <c r="C1419" s="5">
        <f t="shared" ca="1" si="0"/>
        <v>1.3720083542362704E-2</v>
      </c>
    </row>
    <row r="1420" spans="1:3" ht="13" x14ac:dyDescent="0.15">
      <c r="A1420" s="3">
        <f ca="1">IFERROR(__xludf.DUMMYFUNCTION("""COMPUTED_VALUE"""),42499.6666666666)</f>
        <v>42499.666666666599</v>
      </c>
      <c r="B1420" s="4">
        <f ca="1">IFERROR(__xludf.DUMMYFUNCTION("""COMPUTED_VALUE"""),712.9)</f>
        <v>712.9</v>
      </c>
      <c r="C1420" s="5">
        <f t="shared" ca="1" si="0"/>
        <v>2.4999661901632967E-3</v>
      </c>
    </row>
    <row r="1421" spans="1:3" ht="13" x14ac:dyDescent="0.15">
      <c r="A1421" s="3">
        <f ca="1">IFERROR(__xludf.DUMMYFUNCTION("""COMPUTED_VALUE"""),42500.6666666666)</f>
        <v>42500.666666666599</v>
      </c>
      <c r="B1421" s="4">
        <f ca="1">IFERROR(__xludf.DUMMYFUNCTION("""COMPUTED_VALUE"""),723.18)</f>
        <v>723.18</v>
      </c>
      <c r="C1421" s="5">
        <f t="shared" ca="1" si="0"/>
        <v>1.4316995704724434E-2</v>
      </c>
    </row>
    <row r="1422" spans="1:3" ht="13" x14ac:dyDescent="0.15">
      <c r="A1422" s="3">
        <f ca="1">IFERROR(__xludf.DUMMYFUNCTION("""COMPUTED_VALUE"""),42501.6666666666)</f>
        <v>42501.666666666599</v>
      </c>
      <c r="B1422" s="4">
        <f ca="1">IFERROR(__xludf.DUMMYFUNCTION("""COMPUTED_VALUE"""),715.29)</f>
        <v>715.29</v>
      </c>
      <c r="C1422" s="5">
        <f t="shared" ca="1" si="0"/>
        <v>-1.0970098959881767E-2</v>
      </c>
    </row>
    <row r="1423" spans="1:3" ht="13" x14ac:dyDescent="0.15">
      <c r="A1423" s="3">
        <f ca="1">IFERROR(__xludf.DUMMYFUNCTION("""COMPUTED_VALUE"""),42502.6666666666)</f>
        <v>42502.666666666599</v>
      </c>
      <c r="B1423" s="4">
        <f ca="1">IFERROR(__xludf.DUMMYFUNCTION("""COMPUTED_VALUE"""),713.31)</f>
        <v>713.31</v>
      </c>
      <c r="C1423" s="5">
        <f t="shared" ca="1" si="0"/>
        <v>-2.7719463360046468E-3</v>
      </c>
    </row>
    <row r="1424" spans="1:3" ht="13" x14ac:dyDescent="0.15">
      <c r="A1424" s="3">
        <f ca="1">IFERROR(__xludf.DUMMYFUNCTION("""COMPUTED_VALUE"""),42503.6666666666)</f>
        <v>42503.666666666599</v>
      </c>
      <c r="B1424" s="4">
        <f ca="1">IFERROR(__xludf.DUMMYFUNCTION("""COMPUTED_VALUE"""),710.83)</f>
        <v>710.83</v>
      </c>
      <c r="C1424" s="5">
        <f t="shared" ca="1" si="0"/>
        <v>-3.4828071774612853E-3</v>
      </c>
    </row>
    <row r="1425" spans="1:3" ht="13" x14ac:dyDescent="0.15">
      <c r="A1425" s="3">
        <f ca="1">IFERROR(__xludf.DUMMYFUNCTION("""COMPUTED_VALUE"""),42506.6666666666)</f>
        <v>42506.666666666599</v>
      </c>
      <c r="B1425" s="4">
        <f ca="1">IFERROR(__xludf.DUMMYFUNCTION("""COMPUTED_VALUE"""),716.49)</f>
        <v>716.49</v>
      </c>
      <c r="C1425" s="5">
        <f t="shared" ca="1" si="0"/>
        <v>7.9309890817469125E-3</v>
      </c>
    </row>
    <row r="1426" spans="1:3" ht="13" x14ac:dyDescent="0.15">
      <c r="A1426" s="3">
        <f ca="1">IFERROR(__xludf.DUMMYFUNCTION("""COMPUTED_VALUE"""),42507.6666666666)</f>
        <v>42507.666666666599</v>
      </c>
      <c r="B1426" s="4">
        <f ca="1">IFERROR(__xludf.DUMMYFUNCTION("""COMPUTED_VALUE"""),706.23)</f>
        <v>706.23</v>
      </c>
      <c r="C1426" s="5">
        <f t="shared" ca="1" si="0"/>
        <v>-1.4423326961104939E-2</v>
      </c>
    </row>
    <row r="1427" spans="1:3" ht="13" x14ac:dyDescent="0.15">
      <c r="A1427" s="3">
        <f ca="1">IFERROR(__xludf.DUMMYFUNCTION("""COMPUTED_VALUE"""),42508.6666666666)</f>
        <v>42508.666666666599</v>
      </c>
      <c r="B1427" s="4">
        <f ca="1">IFERROR(__xludf.DUMMYFUNCTION("""COMPUTED_VALUE"""),706.63)</f>
        <v>706.63</v>
      </c>
      <c r="C1427" s="5">
        <f t="shared" ca="1" si="0"/>
        <v>5.6622738372825629E-4</v>
      </c>
    </row>
    <row r="1428" spans="1:3" ht="13" x14ac:dyDescent="0.15">
      <c r="A1428" s="3">
        <f ca="1">IFERROR(__xludf.DUMMYFUNCTION("""COMPUTED_VALUE"""),42509.6666666666)</f>
        <v>42509.666666666599</v>
      </c>
      <c r="B1428" s="4">
        <f ca="1">IFERROR(__xludf.DUMMYFUNCTION("""COMPUTED_VALUE"""),700.32)</f>
        <v>700.32</v>
      </c>
      <c r="C1428" s="5">
        <f t="shared" ca="1" si="0"/>
        <v>-8.9698174167440973E-3</v>
      </c>
    </row>
    <row r="1429" spans="1:3" ht="13" x14ac:dyDescent="0.15">
      <c r="A1429" s="3">
        <f ca="1">IFERROR(__xludf.DUMMYFUNCTION("""COMPUTED_VALUE"""),42510.6666666666)</f>
        <v>42510.666666666599</v>
      </c>
      <c r="B1429" s="4">
        <f ca="1">IFERROR(__xludf.DUMMYFUNCTION("""COMPUTED_VALUE"""),709.74)</f>
        <v>709.74</v>
      </c>
      <c r="C1429" s="5">
        <f t="shared" ca="1" si="0"/>
        <v>1.3361332343115298E-2</v>
      </c>
    </row>
    <row r="1430" spans="1:3" ht="13" x14ac:dyDescent="0.15">
      <c r="A1430" s="3">
        <f ca="1">IFERROR(__xludf.DUMMYFUNCTION("""COMPUTED_VALUE"""),42513.6666666666)</f>
        <v>42513.666666666599</v>
      </c>
      <c r="B1430" s="4">
        <f ca="1">IFERROR(__xludf.DUMMYFUNCTION("""COMPUTED_VALUE"""),704.24)</f>
        <v>704.24</v>
      </c>
      <c r="C1430" s="5">
        <f t="shared" ca="1" si="0"/>
        <v>-7.7794986330498497E-3</v>
      </c>
    </row>
    <row r="1431" spans="1:3" ht="13" x14ac:dyDescent="0.15">
      <c r="A1431" s="3">
        <f ca="1">IFERROR(__xludf.DUMMYFUNCTION("""COMPUTED_VALUE"""),42514.6666666666)</f>
        <v>42514.666666666599</v>
      </c>
      <c r="B1431" s="4">
        <f ca="1">IFERROR(__xludf.DUMMYFUNCTION("""COMPUTED_VALUE"""),720.09)</f>
        <v>720.09</v>
      </c>
      <c r="C1431" s="5">
        <f t="shared" ca="1" si="0"/>
        <v>2.2256997045601374E-2</v>
      </c>
    </row>
    <row r="1432" spans="1:3" ht="13" x14ac:dyDescent="0.15">
      <c r="A1432" s="3">
        <f ca="1">IFERROR(__xludf.DUMMYFUNCTION("""COMPUTED_VALUE"""),42515.6666666666)</f>
        <v>42515.666666666599</v>
      </c>
      <c r="B1432" s="4">
        <f ca="1">IFERROR(__xludf.DUMMYFUNCTION("""COMPUTED_VALUE"""),725.27)</f>
        <v>725.27</v>
      </c>
      <c r="C1432" s="5">
        <f t="shared" ca="1" si="0"/>
        <v>7.1677951207216074E-3</v>
      </c>
    </row>
    <row r="1433" spans="1:3" ht="13" x14ac:dyDescent="0.15">
      <c r="A1433" s="3">
        <f ca="1">IFERROR(__xludf.DUMMYFUNCTION("""COMPUTED_VALUE"""),42516.6666666666)</f>
        <v>42516.666666666599</v>
      </c>
      <c r="B1433" s="4">
        <f ca="1">IFERROR(__xludf.DUMMYFUNCTION("""COMPUTED_VALUE"""),724.12)</f>
        <v>724.12</v>
      </c>
      <c r="C1433" s="5">
        <f t="shared" ca="1" si="0"/>
        <v>-1.586874811230606E-3</v>
      </c>
    </row>
    <row r="1434" spans="1:3" ht="13" x14ac:dyDescent="0.15">
      <c r="A1434" s="3">
        <f ca="1">IFERROR(__xludf.DUMMYFUNCTION("""COMPUTED_VALUE"""),42517.6666666666)</f>
        <v>42517.666666666599</v>
      </c>
      <c r="B1434" s="4">
        <f ca="1">IFERROR(__xludf.DUMMYFUNCTION("""COMPUTED_VALUE"""),732.66)</f>
        <v>732.66</v>
      </c>
      <c r="C1434" s="5">
        <f t="shared" ca="1" si="0"/>
        <v>1.1724622565242347E-2</v>
      </c>
    </row>
    <row r="1435" spans="1:3" ht="13" x14ac:dyDescent="0.15">
      <c r="A1435" s="3">
        <f ca="1">IFERROR(__xludf.DUMMYFUNCTION("""COMPUTED_VALUE"""),42521.6666666666)</f>
        <v>42521.666666666599</v>
      </c>
      <c r="B1435" s="4">
        <f ca="1">IFERROR(__xludf.DUMMYFUNCTION("""COMPUTED_VALUE"""),735.72)</f>
        <v>735.72</v>
      </c>
      <c r="C1435" s="5">
        <f t="shared" ca="1" si="0"/>
        <v>4.167864489611527E-3</v>
      </c>
    </row>
    <row r="1436" spans="1:3" ht="13" x14ac:dyDescent="0.15">
      <c r="A1436" s="3">
        <f ca="1">IFERROR(__xludf.DUMMYFUNCTION("""COMPUTED_VALUE"""),42522.6666666666)</f>
        <v>42522.666666666599</v>
      </c>
      <c r="B1436" s="4">
        <f ca="1">IFERROR(__xludf.DUMMYFUNCTION("""COMPUTED_VALUE"""),734.15)</f>
        <v>734.15</v>
      </c>
      <c r="C1436" s="5">
        <f t="shared" ca="1" si="0"/>
        <v>-2.1362441536504255E-3</v>
      </c>
    </row>
    <row r="1437" spans="1:3" ht="13" x14ac:dyDescent="0.15">
      <c r="A1437" s="3">
        <f ca="1">IFERROR(__xludf.DUMMYFUNCTION("""COMPUTED_VALUE"""),42523.6666666666)</f>
        <v>42523.666666666599</v>
      </c>
      <c r="B1437" s="4">
        <f ca="1">IFERROR(__xludf.DUMMYFUNCTION("""COMPUTED_VALUE"""),730.4)</f>
        <v>730.4</v>
      </c>
      <c r="C1437" s="5">
        <f t="shared" ca="1" si="0"/>
        <v>-5.1210381281878809E-3</v>
      </c>
    </row>
    <row r="1438" spans="1:3" ht="13" x14ac:dyDescent="0.15">
      <c r="A1438" s="3">
        <f ca="1">IFERROR(__xludf.DUMMYFUNCTION("""COMPUTED_VALUE"""),42524.6666666666)</f>
        <v>42524.666666666599</v>
      </c>
      <c r="B1438" s="4">
        <f ca="1">IFERROR(__xludf.DUMMYFUNCTION("""COMPUTED_VALUE"""),722.34)</f>
        <v>722.34</v>
      </c>
      <c r="C1438" s="5">
        <f t="shared" ca="1" si="0"/>
        <v>-1.1096387105768641E-2</v>
      </c>
    </row>
    <row r="1439" spans="1:3" ht="13" x14ac:dyDescent="0.15">
      <c r="A1439" s="3">
        <f ca="1">IFERROR(__xludf.DUMMYFUNCTION("""COMPUTED_VALUE"""),42527.6666666666)</f>
        <v>42527.666666666599</v>
      </c>
      <c r="B1439" s="4">
        <f ca="1">IFERROR(__xludf.DUMMYFUNCTION("""COMPUTED_VALUE"""),716.55)</f>
        <v>716.55</v>
      </c>
      <c r="C1439" s="5">
        <f t="shared" ca="1" si="0"/>
        <v>-8.0479136709095574E-3</v>
      </c>
    </row>
    <row r="1440" spans="1:3" ht="13" x14ac:dyDescent="0.15">
      <c r="A1440" s="3">
        <f ca="1">IFERROR(__xludf.DUMMYFUNCTION("""COMPUTED_VALUE"""),42528.6666666666)</f>
        <v>42528.666666666599</v>
      </c>
      <c r="B1440" s="4">
        <f ca="1">IFERROR(__xludf.DUMMYFUNCTION("""COMPUTED_VALUE"""),716.65)</f>
        <v>716.65</v>
      </c>
      <c r="C1440" s="5">
        <f t="shared" ca="1" si="0"/>
        <v>1.3954786514409854E-4</v>
      </c>
    </row>
    <row r="1441" spans="1:3" ht="13" x14ac:dyDescent="0.15">
      <c r="A1441" s="3">
        <f ca="1">IFERROR(__xludf.DUMMYFUNCTION("""COMPUTED_VALUE"""),42529.6666666666)</f>
        <v>42529.666666666599</v>
      </c>
      <c r="B1441" s="4">
        <f ca="1">IFERROR(__xludf.DUMMYFUNCTION("""COMPUTED_VALUE"""),728.28)</f>
        <v>728.28</v>
      </c>
      <c r="C1441" s="5">
        <f t="shared" ca="1" si="0"/>
        <v>1.6098013266539441E-2</v>
      </c>
    </row>
    <row r="1442" spans="1:3" ht="13" x14ac:dyDescent="0.15">
      <c r="A1442" s="3">
        <f ca="1">IFERROR(__xludf.DUMMYFUNCTION("""COMPUTED_VALUE"""),42530.6666666666)</f>
        <v>42530.666666666599</v>
      </c>
      <c r="B1442" s="4">
        <f ca="1">IFERROR(__xludf.DUMMYFUNCTION("""COMPUTED_VALUE"""),728.58)</f>
        <v>728.58</v>
      </c>
      <c r="C1442" s="5">
        <f t="shared" ca="1" si="0"/>
        <v>4.1184465801849041E-4</v>
      </c>
    </row>
    <row r="1443" spans="1:3" ht="13" x14ac:dyDescent="0.15">
      <c r="A1443" s="3">
        <f ca="1">IFERROR(__xludf.DUMMYFUNCTION("""COMPUTED_VALUE"""),42531.6666666666)</f>
        <v>42531.666666666599</v>
      </c>
      <c r="B1443" s="4">
        <f ca="1">IFERROR(__xludf.DUMMYFUNCTION("""COMPUTED_VALUE"""),719.41)</f>
        <v>719.41</v>
      </c>
      <c r="C1443" s="5">
        <f t="shared" ca="1" si="0"/>
        <v>-1.2666002656253714E-2</v>
      </c>
    </row>
    <row r="1444" spans="1:3" ht="13" x14ac:dyDescent="0.15">
      <c r="A1444" s="3">
        <f ca="1">IFERROR(__xludf.DUMMYFUNCTION("""COMPUTED_VALUE"""),42534.6666666666)</f>
        <v>42534.666666666599</v>
      </c>
      <c r="B1444" s="4">
        <f ca="1">IFERROR(__xludf.DUMMYFUNCTION("""COMPUTED_VALUE"""),718.36)</f>
        <v>718.36</v>
      </c>
      <c r="C1444" s="5">
        <f t="shared" ca="1" si="0"/>
        <v>-1.4605954869932145E-3</v>
      </c>
    </row>
    <row r="1445" spans="1:3" ht="13" x14ac:dyDescent="0.15">
      <c r="A1445" s="3">
        <f ca="1">IFERROR(__xludf.DUMMYFUNCTION("""COMPUTED_VALUE"""),42535.6666666666)</f>
        <v>42535.666666666599</v>
      </c>
      <c r="B1445" s="4">
        <f ca="1">IFERROR(__xludf.DUMMYFUNCTION("""COMPUTED_VALUE"""),718.27)</f>
        <v>718.27</v>
      </c>
      <c r="C1445" s="5">
        <f t="shared" ca="1" si="0"/>
        <v>-1.252932211045926E-4</v>
      </c>
    </row>
    <row r="1446" spans="1:3" ht="13" x14ac:dyDescent="0.15">
      <c r="A1446" s="3">
        <f ca="1">IFERROR(__xludf.DUMMYFUNCTION("""COMPUTED_VALUE"""),42536.6666666666)</f>
        <v>42536.666666666599</v>
      </c>
      <c r="B1446" s="4">
        <f ca="1">IFERROR(__xludf.DUMMYFUNCTION("""COMPUTED_VALUE"""),718.92)</f>
        <v>718.92</v>
      </c>
      <c r="C1446" s="5">
        <f t="shared" ca="1" si="0"/>
        <v>9.0454295440284445E-4</v>
      </c>
    </row>
    <row r="1447" spans="1:3" ht="13" x14ac:dyDescent="0.15">
      <c r="A1447" s="3">
        <f ca="1">IFERROR(__xludf.DUMMYFUNCTION("""COMPUTED_VALUE"""),42537.6666666666)</f>
        <v>42537.666666666599</v>
      </c>
      <c r="B1447" s="4">
        <f ca="1">IFERROR(__xludf.DUMMYFUNCTION("""COMPUTED_VALUE"""),710.36)</f>
        <v>710.36</v>
      </c>
      <c r="C1447" s="5">
        <f t="shared" ca="1" si="0"/>
        <v>-1.1978202097439321E-2</v>
      </c>
    </row>
    <row r="1448" spans="1:3" ht="13" x14ac:dyDescent="0.15">
      <c r="A1448" s="3">
        <f ca="1">IFERROR(__xludf.DUMMYFUNCTION("""COMPUTED_VALUE"""),42538.6666666666)</f>
        <v>42538.666666666599</v>
      </c>
      <c r="B1448" s="4">
        <f ca="1">IFERROR(__xludf.DUMMYFUNCTION("""COMPUTED_VALUE"""),691.72)</f>
        <v>691.72</v>
      </c>
      <c r="C1448" s="5">
        <f t="shared" ca="1" si="0"/>
        <v>-2.6590634328672969E-2</v>
      </c>
    </row>
    <row r="1449" spans="1:3" ht="13" x14ac:dyDescent="0.15">
      <c r="A1449" s="3">
        <f ca="1">IFERROR(__xludf.DUMMYFUNCTION("""COMPUTED_VALUE"""),42541.6666666666)</f>
        <v>42541.666666666599</v>
      </c>
      <c r="B1449" s="4">
        <f ca="1">IFERROR(__xludf.DUMMYFUNCTION("""COMPUTED_VALUE"""),693.71)</f>
        <v>693.71</v>
      </c>
      <c r="C1449" s="5">
        <f t="shared" ca="1" si="0"/>
        <v>2.8727562829984209E-3</v>
      </c>
    </row>
    <row r="1450" spans="1:3" ht="13" x14ac:dyDescent="0.15">
      <c r="A1450" s="3">
        <f ca="1">IFERROR(__xludf.DUMMYFUNCTION("""COMPUTED_VALUE"""),42542.6666666666)</f>
        <v>42542.666666666599</v>
      </c>
      <c r="B1450" s="4">
        <f ca="1">IFERROR(__xludf.DUMMYFUNCTION("""COMPUTED_VALUE"""),695.94)</f>
        <v>695.94</v>
      </c>
      <c r="C1450" s="5">
        <f t="shared" ca="1" si="0"/>
        <v>3.2094439811198826E-3</v>
      </c>
    </row>
    <row r="1451" spans="1:3" ht="13" x14ac:dyDescent="0.15">
      <c r="A1451" s="3">
        <f ca="1">IFERROR(__xludf.DUMMYFUNCTION("""COMPUTED_VALUE"""),42543.6666666666)</f>
        <v>42543.666666666599</v>
      </c>
      <c r="B1451" s="4">
        <f ca="1">IFERROR(__xludf.DUMMYFUNCTION("""COMPUTED_VALUE"""),697.46)</f>
        <v>697.46</v>
      </c>
      <c r="C1451" s="5">
        <f t="shared" ca="1" si="0"/>
        <v>2.1817146589894146E-3</v>
      </c>
    </row>
    <row r="1452" spans="1:3" ht="13" x14ac:dyDescent="0.15">
      <c r="A1452" s="3">
        <f ca="1">IFERROR(__xludf.DUMMYFUNCTION("""COMPUTED_VALUE"""),42544.6666666666)</f>
        <v>42544.666666666599</v>
      </c>
      <c r="B1452" s="4">
        <f ca="1">IFERROR(__xludf.DUMMYFUNCTION("""COMPUTED_VALUE"""),701.87)</f>
        <v>701.87</v>
      </c>
      <c r="C1452" s="5">
        <f t="shared" ca="1" si="0"/>
        <v>6.3030373109029189E-3</v>
      </c>
    </row>
    <row r="1453" spans="1:3" ht="13" x14ac:dyDescent="0.15">
      <c r="A1453" s="3">
        <f ca="1">IFERROR(__xludf.DUMMYFUNCTION("""COMPUTED_VALUE"""),42545.6666666666)</f>
        <v>42545.666666666599</v>
      </c>
      <c r="B1453" s="4">
        <f ca="1">IFERROR(__xludf.DUMMYFUNCTION("""COMPUTED_VALUE"""),675.22)</f>
        <v>675.22</v>
      </c>
      <c r="C1453" s="5">
        <f t="shared" ca="1" si="0"/>
        <v>-3.8709637995593203E-2</v>
      </c>
    </row>
    <row r="1454" spans="1:3" ht="13" x14ac:dyDescent="0.15">
      <c r="A1454" s="3">
        <f ca="1">IFERROR(__xludf.DUMMYFUNCTION("""COMPUTED_VALUE"""),42548.6666666666)</f>
        <v>42548.666666666599</v>
      </c>
      <c r="B1454" s="4">
        <f ca="1">IFERROR(__xludf.DUMMYFUNCTION("""COMPUTED_VALUE"""),668.26)</f>
        <v>668.26</v>
      </c>
      <c r="C1454" s="5">
        <f t="shared" ca="1" si="0"/>
        <v>-1.036124432966825E-2</v>
      </c>
    </row>
    <row r="1455" spans="1:3" ht="13" x14ac:dyDescent="0.15">
      <c r="A1455" s="3">
        <f ca="1">IFERROR(__xludf.DUMMYFUNCTION("""COMPUTED_VALUE"""),42549.6666666666)</f>
        <v>42549.666666666599</v>
      </c>
      <c r="B1455" s="4">
        <f ca="1">IFERROR(__xludf.DUMMYFUNCTION("""COMPUTED_VALUE"""),680.04)</f>
        <v>680.04</v>
      </c>
      <c r="C1455" s="5">
        <f t="shared" ca="1" si="0"/>
        <v>1.7474300603057324E-2</v>
      </c>
    </row>
    <row r="1456" spans="1:3" ht="13" x14ac:dyDescent="0.15">
      <c r="A1456" s="3">
        <f ca="1">IFERROR(__xludf.DUMMYFUNCTION("""COMPUTED_VALUE"""),42550.6666666666)</f>
        <v>42550.666666666599</v>
      </c>
      <c r="B1456" s="4">
        <f ca="1">IFERROR(__xludf.DUMMYFUNCTION("""COMPUTED_VALUE"""),684.11)</f>
        <v>684.11</v>
      </c>
      <c r="C1456" s="5">
        <f t="shared" ca="1" si="0"/>
        <v>5.9671034365296367E-3</v>
      </c>
    </row>
    <row r="1457" spans="1:3" ht="13" x14ac:dyDescent="0.15">
      <c r="A1457" s="3">
        <f ca="1">IFERROR(__xludf.DUMMYFUNCTION("""COMPUTED_VALUE"""),42551.6666666666)</f>
        <v>42551.666666666599</v>
      </c>
      <c r="B1457" s="4">
        <f ca="1">IFERROR(__xludf.DUMMYFUNCTION("""COMPUTED_VALUE"""),692.1)</f>
        <v>692.1</v>
      </c>
      <c r="C1457" s="5">
        <f t="shared" ca="1" si="0"/>
        <v>1.1611730441759949E-2</v>
      </c>
    </row>
    <row r="1458" spans="1:3" ht="13" x14ac:dyDescent="0.15">
      <c r="A1458" s="3">
        <f ca="1">IFERROR(__xludf.DUMMYFUNCTION("""COMPUTED_VALUE"""),42552.6666666666)</f>
        <v>42552.666666666599</v>
      </c>
      <c r="B1458" s="4">
        <f ca="1">IFERROR(__xludf.DUMMYFUNCTION("""COMPUTED_VALUE"""),699.21)</f>
        <v>699.21</v>
      </c>
      <c r="C1458" s="5">
        <f t="shared" ca="1" si="0"/>
        <v>1.0220672450731069E-2</v>
      </c>
    </row>
    <row r="1459" spans="1:3" ht="13" x14ac:dyDescent="0.15">
      <c r="A1459" s="3">
        <f ca="1">IFERROR(__xludf.DUMMYFUNCTION("""COMPUTED_VALUE"""),42556.6666666666)</f>
        <v>42556.666666666599</v>
      </c>
      <c r="B1459" s="4">
        <f ca="1">IFERROR(__xludf.DUMMYFUNCTION("""COMPUTED_VALUE"""),694.49)</f>
        <v>694.49</v>
      </c>
      <c r="C1459" s="5">
        <f t="shared" ca="1" si="0"/>
        <v>-6.7733630559069736E-3</v>
      </c>
    </row>
    <row r="1460" spans="1:3" ht="13" x14ac:dyDescent="0.15">
      <c r="A1460" s="3">
        <f ca="1">IFERROR(__xludf.DUMMYFUNCTION("""COMPUTED_VALUE"""),42557.6666666666)</f>
        <v>42557.666666666599</v>
      </c>
      <c r="B1460" s="4">
        <f ca="1">IFERROR(__xludf.DUMMYFUNCTION("""COMPUTED_VALUE"""),697.77)</f>
        <v>697.77</v>
      </c>
      <c r="C1460" s="5">
        <f t="shared" ca="1" si="0"/>
        <v>4.711772324445058E-3</v>
      </c>
    </row>
    <row r="1461" spans="1:3" ht="13" x14ac:dyDescent="0.15">
      <c r="A1461" s="3">
        <f ca="1">IFERROR(__xludf.DUMMYFUNCTION("""COMPUTED_VALUE"""),42558.6666666666)</f>
        <v>42558.666666666599</v>
      </c>
      <c r="B1461" s="4">
        <f ca="1">IFERROR(__xludf.DUMMYFUNCTION("""COMPUTED_VALUE"""),695.36)</f>
        <v>695.36</v>
      </c>
      <c r="C1461" s="5">
        <f t="shared" ca="1" si="0"/>
        <v>-3.459838499022165E-3</v>
      </c>
    </row>
    <row r="1462" spans="1:3" ht="13" x14ac:dyDescent="0.15">
      <c r="A1462" s="3">
        <f ca="1">IFERROR(__xludf.DUMMYFUNCTION("""COMPUTED_VALUE"""),42559.6666666666)</f>
        <v>42559.666666666599</v>
      </c>
      <c r="B1462" s="4">
        <f ca="1">IFERROR(__xludf.DUMMYFUNCTION("""COMPUTED_VALUE"""),705.63)</f>
        <v>705.63</v>
      </c>
      <c r="C1462" s="5">
        <f t="shared" ca="1" si="0"/>
        <v>1.4661323727497056E-2</v>
      </c>
    </row>
    <row r="1463" spans="1:3" ht="13" x14ac:dyDescent="0.15">
      <c r="A1463" s="3">
        <f ca="1">IFERROR(__xludf.DUMMYFUNCTION("""COMPUTED_VALUE"""),42562.6666666666)</f>
        <v>42562.666666666599</v>
      </c>
      <c r="B1463" s="4">
        <f ca="1">IFERROR(__xludf.DUMMYFUNCTION("""COMPUTED_VALUE"""),715.09)</f>
        <v>715.09</v>
      </c>
      <c r="C1463" s="5">
        <f t="shared" ca="1" si="0"/>
        <v>1.3317388102836801E-2</v>
      </c>
    </row>
    <row r="1464" spans="1:3" ht="13" x14ac:dyDescent="0.15">
      <c r="A1464" s="3">
        <f ca="1">IFERROR(__xludf.DUMMYFUNCTION("""COMPUTED_VALUE"""),42563.6666666666)</f>
        <v>42563.666666666599</v>
      </c>
      <c r="B1464" s="4">
        <f ca="1">IFERROR(__xludf.DUMMYFUNCTION("""COMPUTED_VALUE"""),720.64)</f>
        <v>720.64</v>
      </c>
      <c r="C1464" s="5">
        <f t="shared" ca="1" si="0"/>
        <v>7.7312971728174867E-3</v>
      </c>
    </row>
    <row r="1465" spans="1:3" ht="13" x14ac:dyDescent="0.15">
      <c r="A1465" s="3">
        <f ca="1">IFERROR(__xludf.DUMMYFUNCTION("""COMPUTED_VALUE"""),42564.6666666666)</f>
        <v>42564.666666666599</v>
      </c>
      <c r="B1465" s="4">
        <f ca="1">IFERROR(__xludf.DUMMYFUNCTION("""COMPUTED_VALUE"""),716.98)</f>
        <v>716.98</v>
      </c>
      <c r="C1465" s="5">
        <f t="shared" ca="1" si="0"/>
        <v>-5.0917598634301134E-3</v>
      </c>
    </row>
    <row r="1466" spans="1:3" ht="13" x14ac:dyDescent="0.15">
      <c r="A1466" s="3">
        <f ca="1">IFERROR(__xludf.DUMMYFUNCTION("""COMPUTED_VALUE"""),42565.6666666666)</f>
        <v>42565.666666666599</v>
      </c>
      <c r="B1466" s="4">
        <f ca="1">IFERROR(__xludf.DUMMYFUNCTION("""COMPUTED_VALUE"""),720.95)</f>
        <v>720.95</v>
      </c>
      <c r="C1466" s="5">
        <f t="shared" ca="1" si="0"/>
        <v>5.5218405448698915E-3</v>
      </c>
    </row>
    <row r="1467" spans="1:3" ht="13" x14ac:dyDescent="0.15">
      <c r="A1467" s="3">
        <f ca="1">IFERROR(__xludf.DUMMYFUNCTION("""COMPUTED_VALUE"""),42566.6666666666)</f>
        <v>42566.666666666599</v>
      </c>
      <c r="B1467" s="4">
        <f ca="1">IFERROR(__xludf.DUMMYFUNCTION("""COMPUTED_VALUE"""),719.85)</f>
        <v>719.85</v>
      </c>
      <c r="C1467" s="5">
        <f t="shared" ca="1" si="0"/>
        <v>-1.5269297802917522E-3</v>
      </c>
    </row>
    <row r="1468" spans="1:3" ht="13" x14ac:dyDescent="0.15">
      <c r="A1468" s="3">
        <f ca="1">IFERROR(__xludf.DUMMYFUNCTION("""COMPUTED_VALUE"""),42569.6666666666)</f>
        <v>42569.666666666599</v>
      </c>
      <c r="B1468" s="4">
        <f ca="1">IFERROR(__xludf.DUMMYFUNCTION("""COMPUTED_VALUE"""),733.78)</f>
        <v>733.78</v>
      </c>
      <c r="C1468" s="5">
        <f t="shared" ca="1" si="0"/>
        <v>1.9166399194444558E-2</v>
      </c>
    </row>
    <row r="1469" spans="1:3" ht="13" x14ac:dyDescent="0.15">
      <c r="A1469" s="3">
        <f ca="1">IFERROR(__xludf.DUMMYFUNCTION("""COMPUTED_VALUE"""),42570.6666666666)</f>
        <v>42570.666666666599</v>
      </c>
      <c r="B1469" s="4">
        <f ca="1">IFERROR(__xludf.DUMMYFUNCTION("""COMPUTED_VALUE"""),736.96)</f>
        <v>736.96</v>
      </c>
      <c r="C1469" s="5">
        <f t="shared" ca="1" si="0"/>
        <v>4.3243604655116025E-3</v>
      </c>
    </row>
    <row r="1470" spans="1:3" ht="13" x14ac:dyDescent="0.15">
      <c r="A1470" s="3">
        <f ca="1">IFERROR(__xludf.DUMMYFUNCTION("""COMPUTED_VALUE"""),42571.6666666666)</f>
        <v>42571.666666666599</v>
      </c>
      <c r="B1470" s="4">
        <f ca="1">IFERROR(__xludf.DUMMYFUNCTION("""COMPUTED_VALUE"""),741.19)</f>
        <v>741.19</v>
      </c>
      <c r="C1470" s="5">
        <f t="shared" ca="1" si="0"/>
        <v>5.7233860526852533E-3</v>
      </c>
    </row>
    <row r="1471" spans="1:3" ht="13" x14ac:dyDescent="0.15">
      <c r="A1471" s="3">
        <f ca="1">IFERROR(__xludf.DUMMYFUNCTION("""COMPUTED_VALUE"""),42572.6666666666)</f>
        <v>42572.666666666599</v>
      </c>
      <c r="B1471" s="4">
        <f ca="1">IFERROR(__xludf.DUMMYFUNCTION("""COMPUTED_VALUE"""),738.63)</f>
        <v>738.63</v>
      </c>
      <c r="C1471" s="5">
        <f t="shared" ca="1" si="0"/>
        <v>-3.4598837071660319E-3</v>
      </c>
    </row>
    <row r="1472" spans="1:3" ht="13" x14ac:dyDescent="0.15">
      <c r="A1472" s="3">
        <f ca="1">IFERROR(__xludf.DUMMYFUNCTION("""COMPUTED_VALUE"""),42573.6666666666)</f>
        <v>42573.666666666599</v>
      </c>
      <c r="B1472" s="4">
        <f ca="1">IFERROR(__xludf.DUMMYFUNCTION("""COMPUTED_VALUE"""),742.74)</f>
        <v>742.74</v>
      </c>
      <c r="C1472" s="5">
        <f t="shared" ca="1" si="0"/>
        <v>5.5489317939342257E-3</v>
      </c>
    </row>
    <row r="1473" spans="1:3" ht="13" x14ac:dyDescent="0.15">
      <c r="A1473" s="3">
        <f ca="1">IFERROR(__xludf.DUMMYFUNCTION("""COMPUTED_VALUE"""),42576.6666666666)</f>
        <v>42576.666666666599</v>
      </c>
      <c r="B1473" s="4">
        <f ca="1">IFERROR(__xludf.DUMMYFUNCTION("""COMPUTED_VALUE"""),739.77)</f>
        <v>739.77</v>
      </c>
      <c r="C1473" s="5">
        <f t="shared" ca="1" si="0"/>
        <v>-4.0067236960601793E-3</v>
      </c>
    </row>
    <row r="1474" spans="1:3" ht="13" x14ac:dyDescent="0.15">
      <c r="A1474" s="3">
        <f ca="1">IFERROR(__xludf.DUMMYFUNCTION("""COMPUTED_VALUE"""),42577.6666666666)</f>
        <v>42577.666666666599</v>
      </c>
      <c r="B1474" s="4">
        <f ca="1">IFERROR(__xludf.DUMMYFUNCTION("""COMPUTED_VALUE"""),738.42)</f>
        <v>738.42</v>
      </c>
      <c r="C1474" s="5">
        <f t="shared" ca="1" si="0"/>
        <v>-1.8265586634134642E-3</v>
      </c>
    </row>
    <row r="1475" spans="1:3" ht="13" x14ac:dyDescent="0.15">
      <c r="A1475" s="3">
        <f ca="1">IFERROR(__xludf.DUMMYFUNCTION("""COMPUTED_VALUE"""),42578.6666666666)</f>
        <v>42578.666666666599</v>
      </c>
      <c r="B1475" s="4">
        <f ca="1">IFERROR(__xludf.DUMMYFUNCTION("""COMPUTED_VALUE"""),741.77)</f>
        <v>741.77</v>
      </c>
      <c r="C1475" s="5">
        <f t="shared" ca="1" si="0"/>
        <v>4.5264536576834768E-3</v>
      </c>
    </row>
    <row r="1476" spans="1:3" ht="13" x14ac:dyDescent="0.15">
      <c r="A1476" s="3">
        <f ca="1">IFERROR(__xludf.DUMMYFUNCTION("""COMPUTED_VALUE"""),42579.6666666666)</f>
        <v>42579.666666666599</v>
      </c>
      <c r="B1476" s="4">
        <f ca="1">IFERROR(__xludf.DUMMYFUNCTION("""COMPUTED_VALUE"""),745.91)</f>
        <v>745.91</v>
      </c>
      <c r="C1476" s="5">
        <f t="shared" ca="1" si="0"/>
        <v>5.5657274241374755E-3</v>
      </c>
    </row>
    <row r="1477" spans="1:3" ht="13" x14ac:dyDescent="0.15">
      <c r="A1477" s="3">
        <f ca="1">IFERROR(__xludf.DUMMYFUNCTION("""COMPUTED_VALUE"""),42580.6666666666)</f>
        <v>42580.666666666599</v>
      </c>
      <c r="B1477" s="4">
        <f ca="1">IFERROR(__xludf.DUMMYFUNCTION("""COMPUTED_VALUE"""),768.79)</f>
        <v>768.79</v>
      </c>
      <c r="C1477" s="5">
        <f t="shared" ca="1" si="0"/>
        <v>3.0212900793286888E-2</v>
      </c>
    </row>
    <row r="1478" spans="1:3" ht="13" x14ac:dyDescent="0.15">
      <c r="A1478" s="3">
        <f ca="1">IFERROR(__xludf.DUMMYFUNCTION("""COMPUTED_VALUE"""),42583.6666666666)</f>
        <v>42583.666666666599</v>
      </c>
      <c r="B1478" s="4">
        <f ca="1">IFERROR(__xludf.DUMMYFUNCTION("""COMPUTED_VALUE"""),772.88)</f>
        <v>772.88</v>
      </c>
      <c r="C1478" s="5">
        <f t="shared" ca="1" si="0"/>
        <v>5.3059469218460437E-3</v>
      </c>
    </row>
    <row r="1479" spans="1:3" ht="13" x14ac:dyDescent="0.15">
      <c r="A1479" s="3">
        <f ca="1">IFERROR(__xludf.DUMMYFUNCTION("""COMPUTED_VALUE"""),42584.6666666666)</f>
        <v>42584.666666666599</v>
      </c>
      <c r="B1479" s="4">
        <f ca="1">IFERROR(__xludf.DUMMYFUNCTION("""COMPUTED_VALUE"""),771.07)</f>
        <v>771.07</v>
      </c>
      <c r="C1479" s="5">
        <f t="shared" ca="1" si="0"/>
        <v>-2.3446365869089999E-3</v>
      </c>
    </row>
    <row r="1480" spans="1:3" ht="13" x14ac:dyDescent="0.15">
      <c r="A1480" s="3">
        <f ca="1">IFERROR(__xludf.DUMMYFUNCTION("""COMPUTED_VALUE"""),42585.6666666666)</f>
        <v>42585.666666666599</v>
      </c>
      <c r="B1480" s="4">
        <f ca="1">IFERROR(__xludf.DUMMYFUNCTION("""COMPUTED_VALUE"""),773.18)</f>
        <v>773.18</v>
      </c>
      <c r="C1480" s="5">
        <f t="shared" ca="1" si="0"/>
        <v>2.7327198485742809E-3</v>
      </c>
    </row>
    <row r="1481" spans="1:3" ht="13" x14ac:dyDescent="0.15">
      <c r="A1481" s="3">
        <f ca="1">IFERROR(__xludf.DUMMYFUNCTION("""COMPUTED_VALUE"""),42586.6666666666)</f>
        <v>42586.666666666599</v>
      </c>
      <c r="B1481" s="4">
        <f ca="1">IFERROR(__xludf.DUMMYFUNCTION("""COMPUTED_VALUE"""),771.61)</f>
        <v>771.61</v>
      </c>
      <c r="C1481" s="5">
        <f t="shared" ca="1" si="0"/>
        <v>-2.0326394403820539E-3</v>
      </c>
    </row>
    <row r="1482" spans="1:3" ht="13" x14ac:dyDescent="0.15">
      <c r="A1482" s="3">
        <f ca="1">IFERROR(__xludf.DUMMYFUNCTION("""COMPUTED_VALUE"""),42587.6666666666)</f>
        <v>42587.666666666599</v>
      </c>
      <c r="B1482" s="4">
        <f ca="1">IFERROR(__xludf.DUMMYFUNCTION("""COMPUTED_VALUE"""),782.22)</f>
        <v>782.22</v>
      </c>
      <c r="C1482" s="5">
        <f t="shared" ca="1" si="0"/>
        <v>1.3656789872205061E-2</v>
      </c>
    </row>
    <row r="1483" spans="1:3" ht="13" x14ac:dyDescent="0.15">
      <c r="A1483" s="3">
        <f ca="1">IFERROR(__xludf.DUMMYFUNCTION("""COMPUTED_VALUE"""),42590.6666666666)</f>
        <v>42590.666666666599</v>
      </c>
      <c r="B1483" s="4">
        <f ca="1">IFERROR(__xludf.DUMMYFUNCTION("""COMPUTED_VALUE"""),781.76)</f>
        <v>781.76</v>
      </c>
      <c r="C1483" s="5">
        <f t="shared" ca="1" si="0"/>
        <v>-5.8824283336675733E-4</v>
      </c>
    </row>
    <row r="1484" spans="1:3" ht="13" x14ac:dyDescent="0.15">
      <c r="A1484" s="3">
        <f ca="1">IFERROR(__xludf.DUMMYFUNCTION("""COMPUTED_VALUE"""),42591.6666666666)</f>
        <v>42591.666666666599</v>
      </c>
      <c r="B1484" s="4">
        <f ca="1">IFERROR(__xludf.DUMMYFUNCTION("""COMPUTED_VALUE"""),784.26)</f>
        <v>784.26</v>
      </c>
      <c r="C1484" s="5">
        <f t="shared" ca="1" si="0"/>
        <v>3.1928099561397707E-3</v>
      </c>
    </row>
    <row r="1485" spans="1:3" ht="13" x14ac:dyDescent="0.15">
      <c r="A1485" s="3">
        <f ca="1">IFERROR(__xludf.DUMMYFUNCTION("""COMPUTED_VALUE"""),42592.6666666666)</f>
        <v>42592.666666666599</v>
      </c>
      <c r="B1485" s="4">
        <f ca="1">IFERROR(__xludf.DUMMYFUNCTION("""COMPUTED_VALUE"""),784.68)</f>
        <v>784.68</v>
      </c>
      <c r="C1485" s="5">
        <f t="shared" ca="1" si="0"/>
        <v>5.3539333566933532E-4</v>
      </c>
    </row>
    <row r="1486" spans="1:3" ht="13" x14ac:dyDescent="0.15">
      <c r="A1486" s="3">
        <f ca="1">IFERROR(__xludf.DUMMYFUNCTION("""COMPUTED_VALUE"""),42593.6666666666)</f>
        <v>42593.666666666599</v>
      </c>
      <c r="B1486" s="4">
        <f ca="1">IFERROR(__xludf.DUMMYFUNCTION("""COMPUTED_VALUE"""),784.85)</f>
        <v>784.85</v>
      </c>
      <c r="C1486" s="5">
        <f t="shared" ca="1" si="0"/>
        <v>2.1662536003119021E-4</v>
      </c>
    </row>
    <row r="1487" spans="1:3" ht="13" x14ac:dyDescent="0.15">
      <c r="A1487" s="3">
        <f ca="1">IFERROR(__xludf.DUMMYFUNCTION("""COMPUTED_VALUE"""),42594.6666666666)</f>
        <v>42594.666666666599</v>
      </c>
      <c r="B1487" s="4">
        <f ca="1">IFERROR(__xludf.DUMMYFUNCTION("""COMPUTED_VALUE"""),783.22)</f>
        <v>783.22</v>
      </c>
      <c r="C1487" s="5">
        <f t="shared" ca="1" si="0"/>
        <v>-2.0789895694687684E-3</v>
      </c>
    </row>
    <row r="1488" spans="1:3" ht="13" x14ac:dyDescent="0.15">
      <c r="A1488" s="3">
        <f ca="1">IFERROR(__xludf.DUMMYFUNCTION("""COMPUTED_VALUE"""),42597.6666666666)</f>
        <v>42597.666666666599</v>
      </c>
      <c r="B1488" s="4">
        <f ca="1">IFERROR(__xludf.DUMMYFUNCTION("""COMPUTED_VALUE"""),782.44)</f>
        <v>782.44</v>
      </c>
      <c r="C1488" s="5">
        <f t="shared" ca="1" si="0"/>
        <v>-9.9638499358848244E-4</v>
      </c>
    </row>
    <row r="1489" spans="1:3" ht="13" x14ac:dyDescent="0.15">
      <c r="A1489" s="3">
        <f ca="1">IFERROR(__xludf.DUMMYFUNCTION("""COMPUTED_VALUE"""),42598.6666666666)</f>
        <v>42598.666666666599</v>
      </c>
      <c r="B1489" s="4">
        <f ca="1">IFERROR(__xludf.DUMMYFUNCTION("""COMPUTED_VALUE"""),777.14)</f>
        <v>777.14</v>
      </c>
      <c r="C1489" s="5">
        <f t="shared" ca="1" si="0"/>
        <v>-6.7967278408302594E-3</v>
      </c>
    </row>
    <row r="1490" spans="1:3" ht="13" x14ac:dyDescent="0.15">
      <c r="A1490" s="3">
        <f ca="1">IFERROR(__xludf.DUMMYFUNCTION("""COMPUTED_VALUE"""),42599.6666666666)</f>
        <v>42599.666666666599</v>
      </c>
      <c r="B1490" s="4">
        <f ca="1">IFERROR(__xludf.DUMMYFUNCTION("""COMPUTED_VALUE"""),779.91)</f>
        <v>779.91</v>
      </c>
      <c r="C1490" s="5">
        <f t="shared" ca="1" si="0"/>
        <v>3.5580140936073736E-3</v>
      </c>
    </row>
    <row r="1491" spans="1:3" ht="13" x14ac:dyDescent="0.15">
      <c r="A1491" s="3">
        <f ca="1">IFERROR(__xludf.DUMMYFUNCTION("""COMPUTED_VALUE"""),42600.6666666666)</f>
        <v>42600.666666666599</v>
      </c>
      <c r="B1491" s="4">
        <f ca="1">IFERROR(__xludf.DUMMYFUNCTION("""COMPUTED_VALUE"""),777.5)</f>
        <v>777.5</v>
      </c>
      <c r="C1491" s="5">
        <f t="shared" ca="1" si="0"/>
        <v>-3.0948843575466828E-3</v>
      </c>
    </row>
    <row r="1492" spans="1:3" ht="13" x14ac:dyDescent="0.15">
      <c r="A1492" s="3">
        <f ca="1">IFERROR(__xludf.DUMMYFUNCTION("""COMPUTED_VALUE"""),42601.6666666666)</f>
        <v>42601.666666666599</v>
      </c>
      <c r="B1492" s="4">
        <f ca="1">IFERROR(__xludf.DUMMYFUNCTION("""COMPUTED_VALUE"""),775.42)</f>
        <v>775.42</v>
      </c>
      <c r="C1492" s="5">
        <f t="shared" ca="1" si="0"/>
        <v>-2.6788260101727997E-3</v>
      </c>
    </row>
    <row r="1493" spans="1:3" ht="13" x14ac:dyDescent="0.15">
      <c r="A1493" s="3">
        <f ca="1">IFERROR(__xludf.DUMMYFUNCTION("""COMPUTED_VALUE"""),42604.6666666666)</f>
        <v>42604.666666666599</v>
      </c>
      <c r="B1493" s="4">
        <f ca="1">IFERROR(__xludf.DUMMYFUNCTION("""COMPUTED_VALUE"""),772.15)</f>
        <v>772.15</v>
      </c>
      <c r="C1493" s="5">
        <f t="shared" ca="1" si="0"/>
        <v>-4.2259863742064837E-3</v>
      </c>
    </row>
    <row r="1494" spans="1:3" ht="13" x14ac:dyDescent="0.15">
      <c r="A1494" s="3">
        <f ca="1">IFERROR(__xludf.DUMMYFUNCTION("""COMPUTED_VALUE"""),42605.6666666666)</f>
        <v>42605.666666666599</v>
      </c>
      <c r="B1494" s="4">
        <f ca="1">IFERROR(__xludf.DUMMYFUNCTION("""COMPUTED_VALUE"""),772.08)</f>
        <v>772.08</v>
      </c>
      <c r="C1494" s="5">
        <f t="shared" ca="1" si="0"/>
        <v>-9.0660070129261179E-5</v>
      </c>
    </row>
    <row r="1495" spans="1:3" ht="13" x14ac:dyDescent="0.15">
      <c r="A1495" s="3">
        <f ca="1">IFERROR(__xludf.DUMMYFUNCTION("""COMPUTED_VALUE"""),42606.6666666666)</f>
        <v>42606.666666666599</v>
      </c>
      <c r="B1495" s="4">
        <f ca="1">IFERROR(__xludf.DUMMYFUNCTION("""COMPUTED_VALUE"""),769.64)</f>
        <v>769.64</v>
      </c>
      <c r="C1495" s="5">
        <f t="shared" ca="1" si="0"/>
        <v>-3.165298546065151E-3</v>
      </c>
    </row>
    <row r="1496" spans="1:3" ht="13" x14ac:dyDescent="0.15">
      <c r="A1496" s="3">
        <f ca="1">IFERROR(__xludf.DUMMYFUNCTION("""COMPUTED_VALUE"""),42607.6666666666)</f>
        <v>42607.666666666599</v>
      </c>
      <c r="B1496" s="4">
        <f ca="1">IFERROR(__xludf.DUMMYFUNCTION("""COMPUTED_VALUE"""),769.41)</f>
        <v>769.41</v>
      </c>
      <c r="C1496" s="5">
        <f t="shared" ca="1" si="0"/>
        <v>-2.9888567845385997E-4</v>
      </c>
    </row>
    <row r="1497" spans="1:3" ht="13" x14ac:dyDescent="0.15">
      <c r="A1497" s="3">
        <f ca="1">IFERROR(__xludf.DUMMYFUNCTION("""COMPUTED_VALUE"""),42608.6666666666)</f>
        <v>42608.666666666599</v>
      </c>
      <c r="B1497" s="4">
        <f ca="1">IFERROR(__xludf.DUMMYFUNCTION("""COMPUTED_VALUE"""),769.54)</f>
        <v>769.54</v>
      </c>
      <c r="C1497" s="5">
        <f t="shared" ca="1" si="0"/>
        <v>1.6894635993263974E-4</v>
      </c>
    </row>
    <row r="1498" spans="1:3" ht="13" x14ac:dyDescent="0.15">
      <c r="A1498" s="3">
        <f ca="1">IFERROR(__xludf.DUMMYFUNCTION("""COMPUTED_VALUE"""),42611.6666666666)</f>
        <v>42611.666666666599</v>
      </c>
      <c r="B1498" s="4">
        <f ca="1">IFERROR(__xludf.DUMMYFUNCTION("""COMPUTED_VALUE"""),772.15)</f>
        <v>772.15</v>
      </c>
      <c r="C1498" s="5">
        <f t="shared" ca="1" si="0"/>
        <v>3.3858979347155967E-3</v>
      </c>
    </row>
    <row r="1499" spans="1:3" ht="13" x14ac:dyDescent="0.15">
      <c r="A1499" s="3">
        <f ca="1">IFERROR(__xludf.DUMMYFUNCTION("""COMPUTED_VALUE"""),42612.6666666666)</f>
        <v>42612.666666666599</v>
      </c>
      <c r="B1499" s="4">
        <f ca="1">IFERROR(__xludf.DUMMYFUNCTION("""COMPUTED_VALUE"""),769.09)</f>
        <v>769.09</v>
      </c>
      <c r="C1499" s="5">
        <f t="shared" ca="1" si="0"/>
        <v>-3.97083390090702E-3</v>
      </c>
    </row>
    <row r="1500" spans="1:3" ht="13" x14ac:dyDescent="0.15">
      <c r="A1500" s="3">
        <f ca="1">IFERROR(__xludf.DUMMYFUNCTION("""COMPUTED_VALUE"""),42613.6666666666)</f>
        <v>42613.666666666599</v>
      </c>
      <c r="B1500" s="4">
        <f ca="1">IFERROR(__xludf.DUMMYFUNCTION("""COMPUTED_VALUE"""),767.05)</f>
        <v>767.05</v>
      </c>
      <c r="C1500" s="5">
        <f t="shared" ca="1" si="0"/>
        <v>-2.6560094773205997E-3</v>
      </c>
    </row>
    <row r="1501" spans="1:3" ht="13" x14ac:dyDescent="0.15">
      <c r="A1501" s="3">
        <f ca="1">IFERROR(__xludf.DUMMYFUNCTION("""COMPUTED_VALUE"""),42614.6666666666)</f>
        <v>42614.666666666599</v>
      </c>
      <c r="B1501" s="4">
        <f ca="1">IFERROR(__xludf.DUMMYFUNCTION("""COMPUTED_VALUE"""),768.78)</f>
        <v>768.78</v>
      </c>
      <c r="C1501" s="5">
        <f t="shared" ca="1" si="0"/>
        <v>2.2528544587575292E-3</v>
      </c>
    </row>
    <row r="1502" spans="1:3" ht="13" x14ac:dyDescent="0.15">
      <c r="A1502" s="3">
        <f ca="1">IFERROR(__xludf.DUMMYFUNCTION("""COMPUTED_VALUE"""),42615.6666666666)</f>
        <v>42615.666666666599</v>
      </c>
      <c r="B1502" s="4">
        <f ca="1">IFERROR(__xludf.DUMMYFUNCTION("""COMPUTED_VALUE"""),771.46)</f>
        <v>771.46</v>
      </c>
      <c r="C1502" s="5">
        <f t="shared" ca="1" si="0"/>
        <v>3.4799806583719838E-3</v>
      </c>
    </row>
    <row r="1503" spans="1:3" ht="13" x14ac:dyDescent="0.15">
      <c r="A1503" s="3">
        <f ca="1">IFERROR(__xludf.DUMMYFUNCTION("""COMPUTED_VALUE"""),42619.6666666666)</f>
        <v>42619.666666666599</v>
      </c>
      <c r="B1503" s="4">
        <f ca="1">IFERROR(__xludf.DUMMYFUNCTION("""COMPUTED_VALUE"""),780.08)</f>
        <v>780.08</v>
      </c>
      <c r="C1503" s="5">
        <f t="shared" ca="1" si="0"/>
        <v>1.1111655118951843E-2</v>
      </c>
    </row>
    <row r="1504" spans="1:3" ht="13" x14ac:dyDescent="0.15">
      <c r="A1504" s="3">
        <f ca="1">IFERROR(__xludf.DUMMYFUNCTION("""COMPUTED_VALUE"""),42620.6666666666)</f>
        <v>42620.666666666599</v>
      </c>
      <c r="B1504" s="4">
        <f ca="1">IFERROR(__xludf.DUMMYFUNCTION("""COMPUTED_VALUE"""),780.35)</f>
        <v>780.35</v>
      </c>
      <c r="C1504" s="5">
        <f t="shared" ca="1" si="0"/>
        <v>3.4605846169911123E-4</v>
      </c>
    </row>
    <row r="1505" spans="1:3" ht="13" x14ac:dyDescent="0.15">
      <c r="A1505" s="3">
        <f ca="1">IFERROR(__xludf.DUMMYFUNCTION("""COMPUTED_VALUE"""),42621.6666666666)</f>
        <v>42621.666666666599</v>
      </c>
      <c r="B1505" s="4">
        <f ca="1">IFERROR(__xludf.DUMMYFUNCTION("""COMPUTED_VALUE"""),775.32)</f>
        <v>775.32</v>
      </c>
      <c r="C1505" s="5">
        <f t="shared" ca="1" si="0"/>
        <v>-6.4666896304881472E-3</v>
      </c>
    </row>
    <row r="1506" spans="1:3" ht="13" x14ac:dyDescent="0.15">
      <c r="A1506" s="3">
        <f ca="1">IFERROR(__xludf.DUMMYFUNCTION("""COMPUTED_VALUE"""),42622.6666666666)</f>
        <v>42622.666666666599</v>
      </c>
      <c r="B1506" s="4">
        <f ca="1">IFERROR(__xludf.DUMMYFUNCTION("""COMPUTED_VALUE"""),759.66)</f>
        <v>759.66</v>
      </c>
      <c r="C1506" s="5">
        <f t="shared" ca="1" si="0"/>
        <v>-2.0404882597857662E-2</v>
      </c>
    </row>
    <row r="1507" spans="1:3" ht="13" x14ac:dyDescent="0.15">
      <c r="A1507" s="3">
        <f ca="1">IFERROR(__xludf.DUMMYFUNCTION("""COMPUTED_VALUE"""),42625.6666666666)</f>
        <v>42625.666666666599</v>
      </c>
      <c r="B1507" s="4">
        <f ca="1">IFERROR(__xludf.DUMMYFUNCTION("""COMPUTED_VALUE"""),769.02)</f>
        <v>769.02</v>
      </c>
      <c r="C1507" s="5">
        <f t="shared" ca="1" si="0"/>
        <v>1.224601220957082E-2</v>
      </c>
    </row>
    <row r="1508" spans="1:3" ht="13" x14ac:dyDescent="0.15">
      <c r="A1508" s="3">
        <f ca="1">IFERROR(__xludf.DUMMYFUNCTION("""COMPUTED_VALUE"""),42626.6666666666)</f>
        <v>42626.666666666599</v>
      </c>
      <c r="B1508" s="4">
        <f ca="1">IFERROR(__xludf.DUMMYFUNCTION("""COMPUTED_VALUE"""),759.69)</f>
        <v>759.69</v>
      </c>
      <c r="C1508" s="5">
        <f t="shared" ca="1" si="0"/>
        <v>-1.220652163793959E-2</v>
      </c>
    </row>
    <row r="1509" spans="1:3" ht="13" x14ac:dyDescent="0.15">
      <c r="A1509" s="3">
        <f ca="1">IFERROR(__xludf.DUMMYFUNCTION("""COMPUTED_VALUE"""),42627.6666666666)</f>
        <v>42627.666666666599</v>
      </c>
      <c r="B1509" s="4">
        <f ca="1">IFERROR(__xludf.DUMMYFUNCTION("""COMPUTED_VALUE"""),762.49)</f>
        <v>762.49</v>
      </c>
      <c r="C1509" s="5">
        <f t="shared" ca="1" si="0"/>
        <v>3.6789383096210953E-3</v>
      </c>
    </row>
    <row r="1510" spans="1:3" ht="13" x14ac:dyDescent="0.15">
      <c r="A1510" s="3">
        <f ca="1">IFERROR(__xludf.DUMMYFUNCTION("""COMPUTED_VALUE"""),42628.6666666666)</f>
        <v>42628.666666666599</v>
      </c>
      <c r="B1510" s="4">
        <f ca="1">IFERROR(__xludf.DUMMYFUNCTION("""COMPUTED_VALUE"""),771.76)</f>
        <v>771.76</v>
      </c>
      <c r="C1510" s="5">
        <f t="shared" ca="1" si="0"/>
        <v>1.2084227220828995E-2</v>
      </c>
    </row>
    <row r="1511" spans="1:3" ht="13" x14ac:dyDescent="0.15">
      <c r="A1511" s="3">
        <f ca="1">IFERROR(__xludf.DUMMYFUNCTION("""COMPUTED_VALUE"""),42629.6666666666)</f>
        <v>42629.666666666599</v>
      </c>
      <c r="B1511" s="4">
        <f ca="1">IFERROR(__xludf.DUMMYFUNCTION("""COMPUTED_VALUE"""),768.88)</f>
        <v>768.88</v>
      </c>
      <c r="C1511" s="5">
        <f t="shared" ca="1" si="0"/>
        <v>-3.7387103472692335E-3</v>
      </c>
    </row>
    <row r="1512" spans="1:3" ht="13" x14ac:dyDescent="0.15">
      <c r="A1512" s="3">
        <f ca="1">IFERROR(__xludf.DUMMYFUNCTION("""COMPUTED_VALUE"""),42632.6666666666)</f>
        <v>42632.666666666599</v>
      </c>
      <c r="B1512" s="4">
        <f ca="1">IFERROR(__xludf.DUMMYFUNCTION("""COMPUTED_VALUE"""),765.7)</f>
        <v>765.7</v>
      </c>
      <c r="C1512" s="5">
        <f t="shared" ca="1" si="0"/>
        <v>-4.1444623959510695E-3</v>
      </c>
    </row>
    <row r="1513" spans="1:3" ht="13" x14ac:dyDescent="0.15">
      <c r="A1513" s="3">
        <f ca="1">IFERROR(__xludf.DUMMYFUNCTION("""COMPUTED_VALUE"""),42633.6666666666)</f>
        <v>42633.666666666599</v>
      </c>
      <c r="B1513" s="4">
        <f ca="1">IFERROR(__xludf.DUMMYFUNCTION("""COMPUTED_VALUE"""),771.41)</f>
        <v>771.41</v>
      </c>
      <c r="C1513" s="5">
        <f t="shared" ca="1" si="0"/>
        <v>7.4295610141153906E-3</v>
      </c>
    </row>
    <row r="1514" spans="1:3" ht="13" x14ac:dyDescent="0.15">
      <c r="A1514" s="3">
        <f ca="1">IFERROR(__xludf.DUMMYFUNCTION("""COMPUTED_VALUE"""),42634.6666666666)</f>
        <v>42634.666666666599</v>
      </c>
      <c r="B1514" s="4">
        <f ca="1">IFERROR(__xludf.DUMMYFUNCTION("""COMPUTED_VALUE"""),776.22)</f>
        <v>776.22</v>
      </c>
      <c r="C1514" s="5">
        <f t="shared" ca="1" si="0"/>
        <v>6.2159760246723941E-3</v>
      </c>
    </row>
    <row r="1515" spans="1:3" ht="13" x14ac:dyDescent="0.15">
      <c r="A1515" s="3">
        <f ca="1">IFERROR(__xludf.DUMMYFUNCTION("""COMPUTED_VALUE"""),42635.6666666666)</f>
        <v>42635.666666666599</v>
      </c>
      <c r="B1515" s="4">
        <f ca="1">IFERROR(__xludf.DUMMYFUNCTION("""COMPUTED_VALUE"""),787.21)</f>
        <v>787.21</v>
      </c>
      <c r="C1515" s="5">
        <f t="shared" ca="1" si="0"/>
        <v>1.405906375152511E-2</v>
      </c>
    </row>
    <row r="1516" spans="1:3" ht="13" x14ac:dyDescent="0.15">
      <c r="A1516" s="3">
        <f ca="1">IFERROR(__xludf.DUMMYFUNCTION("""COMPUTED_VALUE"""),42636.6666666666)</f>
        <v>42636.666666666599</v>
      </c>
      <c r="B1516" s="4">
        <f ca="1">IFERROR(__xludf.DUMMYFUNCTION("""COMPUTED_VALUE"""),786.9)</f>
        <v>786.9</v>
      </c>
      <c r="C1516" s="5">
        <f t="shared" ca="1" si="0"/>
        <v>-3.9387336845297775E-4</v>
      </c>
    </row>
    <row r="1517" spans="1:3" ht="13" x14ac:dyDescent="0.15">
      <c r="A1517" s="3">
        <f ca="1">IFERROR(__xludf.DUMMYFUNCTION("""COMPUTED_VALUE"""),42639.6666666666)</f>
        <v>42639.666666666599</v>
      </c>
      <c r="B1517" s="4">
        <f ca="1">IFERROR(__xludf.DUMMYFUNCTION("""COMPUTED_VALUE"""),774.21)</f>
        <v>774.21</v>
      </c>
      <c r="C1517" s="5">
        <f t="shared" ca="1" si="0"/>
        <v>-1.6258020921779259E-2</v>
      </c>
    </row>
    <row r="1518" spans="1:3" ht="13" x14ac:dyDescent="0.15">
      <c r="A1518" s="3">
        <f ca="1">IFERROR(__xludf.DUMMYFUNCTION("""COMPUTED_VALUE"""),42640.6666666666)</f>
        <v>42640.666666666599</v>
      </c>
      <c r="B1518" s="4">
        <f ca="1">IFERROR(__xludf.DUMMYFUNCTION("""COMPUTED_VALUE"""),783.01)</f>
        <v>783.01</v>
      </c>
      <c r="C1518" s="5">
        <f t="shared" ca="1" si="0"/>
        <v>1.1302312682172919E-2</v>
      </c>
    </row>
    <row r="1519" spans="1:3" ht="13" x14ac:dyDescent="0.15">
      <c r="A1519" s="3">
        <f ca="1">IFERROR(__xludf.DUMMYFUNCTION("""COMPUTED_VALUE"""),42641.6666666666)</f>
        <v>42641.666666666599</v>
      </c>
      <c r="B1519" s="4">
        <f ca="1">IFERROR(__xludf.DUMMYFUNCTION("""COMPUTED_VALUE"""),781.56)</f>
        <v>781.56</v>
      </c>
      <c r="C1519" s="5">
        <f t="shared" ca="1" si="0"/>
        <v>-1.8535449550209345E-3</v>
      </c>
    </row>
    <row r="1520" spans="1:3" ht="13" x14ac:dyDescent="0.15">
      <c r="A1520" s="3">
        <f ca="1">IFERROR(__xludf.DUMMYFUNCTION("""COMPUTED_VALUE"""),42642.6666666666)</f>
        <v>42642.666666666599</v>
      </c>
      <c r="B1520" s="4">
        <f ca="1">IFERROR(__xludf.DUMMYFUNCTION("""COMPUTED_VALUE"""),775.01)</f>
        <v>775.01</v>
      </c>
      <c r="C1520" s="5">
        <f t="shared" ca="1" si="0"/>
        <v>-8.4159898504028406E-3</v>
      </c>
    </row>
    <row r="1521" spans="1:3" ht="13" x14ac:dyDescent="0.15">
      <c r="A1521" s="3">
        <f ca="1">IFERROR(__xludf.DUMMYFUNCTION("""COMPUTED_VALUE"""),42643.6666666666)</f>
        <v>42643.666666666599</v>
      </c>
      <c r="B1521" s="4">
        <f ca="1">IFERROR(__xludf.DUMMYFUNCTION("""COMPUTED_VALUE"""),777.29)</f>
        <v>777.29</v>
      </c>
      <c r="C1521" s="5">
        <f t="shared" ca="1" si="0"/>
        <v>2.9375786118400319E-3</v>
      </c>
    </row>
    <row r="1522" spans="1:3" ht="13" x14ac:dyDescent="0.15">
      <c r="A1522" s="3">
        <f ca="1">IFERROR(__xludf.DUMMYFUNCTION("""COMPUTED_VALUE"""),42646.6666666666)</f>
        <v>42646.666666666599</v>
      </c>
      <c r="B1522" s="4">
        <f ca="1">IFERROR(__xludf.DUMMYFUNCTION("""COMPUTED_VALUE"""),772.56)</f>
        <v>772.56</v>
      </c>
      <c r="C1522" s="5">
        <f t="shared" ca="1" si="0"/>
        <v>-6.1038354490852344E-3</v>
      </c>
    </row>
    <row r="1523" spans="1:3" ht="13" x14ac:dyDescent="0.15">
      <c r="A1523" s="3">
        <f ca="1">IFERROR(__xludf.DUMMYFUNCTION("""COMPUTED_VALUE"""),42647.6666666666)</f>
        <v>42647.666666666599</v>
      </c>
      <c r="B1523" s="4">
        <f ca="1">IFERROR(__xludf.DUMMYFUNCTION("""COMPUTED_VALUE"""),776.43)</f>
        <v>776.43</v>
      </c>
      <c r="C1523" s="5">
        <f t="shared" ca="1" si="0"/>
        <v>4.9968147660443309E-3</v>
      </c>
    </row>
    <row r="1524" spans="1:3" ht="13" x14ac:dyDescent="0.15">
      <c r="A1524" s="3">
        <f ca="1">IFERROR(__xludf.DUMMYFUNCTION("""COMPUTED_VALUE"""),42648.6666666666)</f>
        <v>42648.666666666599</v>
      </c>
      <c r="B1524" s="4">
        <f ca="1">IFERROR(__xludf.DUMMYFUNCTION("""COMPUTED_VALUE"""),776.47)</f>
        <v>776.47</v>
      </c>
      <c r="C1524" s="5">
        <f t="shared" ca="1" si="0"/>
        <v>5.1516517494956832E-5</v>
      </c>
    </row>
    <row r="1525" spans="1:3" ht="13" x14ac:dyDescent="0.15">
      <c r="A1525" s="3">
        <f ca="1">IFERROR(__xludf.DUMMYFUNCTION("""COMPUTED_VALUE"""),42649.6666666666)</f>
        <v>42649.666666666599</v>
      </c>
      <c r="B1525" s="4">
        <f ca="1">IFERROR(__xludf.DUMMYFUNCTION("""COMPUTED_VALUE"""),776.86)</f>
        <v>776.86</v>
      </c>
      <c r="C1525" s="5">
        <f t="shared" ca="1" si="0"/>
        <v>5.0214701086683921E-4</v>
      </c>
    </row>
    <row r="1526" spans="1:3" ht="13" x14ac:dyDescent="0.15">
      <c r="A1526" s="3">
        <f ca="1">IFERROR(__xludf.DUMMYFUNCTION("""COMPUTED_VALUE"""),42650.6666666666)</f>
        <v>42650.666666666599</v>
      </c>
      <c r="B1526" s="4">
        <f ca="1">IFERROR(__xludf.DUMMYFUNCTION("""COMPUTED_VALUE"""),775.08)</f>
        <v>775.08</v>
      </c>
      <c r="C1526" s="5">
        <f t="shared" ca="1" si="0"/>
        <v>-2.2939041206867625E-3</v>
      </c>
    </row>
    <row r="1527" spans="1:3" ht="13" x14ac:dyDescent="0.15">
      <c r="A1527" s="3">
        <f ca="1">IFERROR(__xludf.DUMMYFUNCTION("""COMPUTED_VALUE"""),42653.6666666666)</f>
        <v>42653.666666666599</v>
      </c>
      <c r="B1527" s="4">
        <f ca="1">IFERROR(__xludf.DUMMYFUNCTION("""COMPUTED_VALUE"""),785.94)</f>
        <v>785.94</v>
      </c>
      <c r="C1527" s="5">
        <f t="shared" ca="1" si="0"/>
        <v>1.3914203805230951E-2</v>
      </c>
    </row>
    <row r="1528" spans="1:3" ht="13" x14ac:dyDescent="0.15">
      <c r="A1528" s="3">
        <f ca="1">IFERROR(__xludf.DUMMYFUNCTION("""COMPUTED_VALUE"""),42654.6666666666)</f>
        <v>42654.666666666599</v>
      </c>
      <c r="B1528" s="4">
        <f ca="1">IFERROR(__xludf.DUMMYFUNCTION("""COMPUTED_VALUE"""),783.07)</f>
        <v>783.07</v>
      </c>
      <c r="C1528" s="5">
        <f t="shared" ca="1" si="0"/>
        <v>-3.6583618981562926E-3</v>
      </c>
    </row>
    <row r="1529" spans="1:3" ht="13" x14ac:dyDescent="0.15">
      <c r="A1529" s="3">
        <f ca="1">IFERROR(__xludf.DUMMYFUNCTION("""COMPUTED_VALUE"""),42655.6666666666)</f>
        <v>42655.666666666599</v>
      </c>
      <c r="B1529" s="4">
        <f ca="1">IFERROR(__xludf.DUMMYFUNCTION("""COMPUTED_VALUE"""),786.14)</f>
        <v>786.14</v>
      </c>
      <c r="C1529" s="5">
        <f t="shared" ca="1" si="0"/>
        <v>3.9128018771381603E-3</v>
      </c>
    </row>
    <row r="1530" spans="1:3" ht="13" x14ac:dyDescent="0.15">
      <c r="A1530" s="3">
        <f ca="1">IFERROR(__xludf.DUMMYFUNCTION("""COMPUTED_VALUE"""),42656.6666666666)</f>
        <v>42656.666666666599</v>
      </c>
      <c r="B1530" s="4">
        <f ca="1">IFERROR(__xludf.DUMMYFUNCTION("""COMPUTED_VALUE"""),778.19)</f>
        <v>778.19</v>
      </c>
      <c r="C1530" s="5">
        <f t="shared" ca="1" si="0"/>
        <v>-1.0164183315757514E-2</v>
      </c>
    </row>
    <row r="1531" spans="1:3" ht="13" x14ac:dyDescent="0.15">
      <c r="A1531" s="3">
        <f ca="1">IFERROR(__xludf.DUMMYFUNCTION("""COMPUTED_VALUE"""),42657.6666666666)</f>
        <v>42657.666666666599</v>
      </c>
      <c r="B1531" s="4">
        <f ca="1">IFERROR(__xludf.DUMMYFUNCTION("""COMPUTED_VALUE"""),778.53)</f>
        <v>778.53</v>
      </c>
      <c r="C1531" s="5">
        <f t="shared" ca="1" si="0"/>
        <v>4.3681587620919874E-4</v>
      </c>
    </row>
    <row r="1532" spans="1:3" ht="13" x14ac:dyDescent="0.15">
      <c r="A1532" s="3">
        <f ca="1">IFERROR(__xludf.DUMMYFUNCTION("""COMPUTED_VALUE"""),42660.6666666666)</f>
        <v>42660.666666666599</v>
      </c>
      <c r="B1532" s="4">
        <f ca="1">IFERROR(__xludf.DUMMYFUNCTION("""COMPUTED_VALUE"""),779.96)</f>
        <v>779.96</v>
      </c>
      <c r="C1532" s="5">
        <f t="shared" ca="1" si="0"/>
        <v>1.8351101403398279E-3</v>
      </c>
    </row>
    <row r="1533" spans="1:3" ht="13" x14ac:dyDescent="0.15">
      <c r="A1533" s="3">
        <f ca="1">IFERROR(__xludf.DUMMYFUNCTION("""COMPUTED_VALUE"""),42661.6666666666)</f>
        <v>42661.666666666599</v>
      </c>
      <c r="B1533" s="4">
        <f ca="1">IFERROR(__xludf.DUMMYFUNCTION("""COMPUTED_VALUE"""),795.26)</f>
        <v>795.26</v>
      </c>
      <c r="C1533" s="5">
        <f t="shared" ca="1" si="0"/>
        <v>1.9426468894862957E-2</v>
      </c>
    </row>
    <row r="1534" spans="1:3" ht="13" x14ac:dyDescent="0.15">
      <c r="A1534" s="3">
        <f ca="1">IFERROR(__xludf.DUMMYFUNCTION("""COMPUTED_VALUE"""),42662.6666666666)</f>
        <v>42662.666666666599</v>
      </c>
      <c r="B1534" s="4">
        <f ca="1">IFERROR(__xludf.DUMMYFUNCTION("""COMPUTED_VALUE"""),801.56)</f>
        <v>801.56</v>
      </c>
      <c r="C1534" s="5">
        <f t="shared" ca="1" si="0"/>
        <v>7.8907236736939623E-3</v>
      </c>
    </row>
    <row r="1535" spans="1:3" ht="13" x14ac:dyDescent="0.15">
      <c r="A1535" s="3">
        <f ca="1">IFERROR(__xludf.DUMMYFUNCTION("""COMPUTED_VALUE"""),42663.6666666666)</f>
        <v>42663.666666666599</v>
      </c>
      <c r="B1535" s="4">
        <f ca="1">IFERROR(__xludf.DUMMYFUNCTION("""COMPUTED_VALUE"""),796.97)</f>
        <v>796.97</v>
      </c>
      <c r="C1535" s="5">
        <f t="shared" ca="1" si="0"/>
        <v>-5.7427919585027682E-3</v>
      </c>
    </row>
    <row r="1536" spans="1:3" ht="13" x14ac:dyDescent="0.15">
      <c r="A1536" s="3">
        <f ca="1">IFERROR(__xludf.DUMMYFUNCTION("""COMPUTED_VALUE"""),42664.6666666666)</f>
        <v>42664.666666666599</v>
      </c>
      <c r="B1536" s="4">
        <f ca="1">IFERROR(__xludf.DUMMYFUNCTION("""COMPUTED_VALUE"""),799.37)</f>
        <v>799.37</v>
      </c>
      <c r="C1536" s="5">
        <f t="shared" ca="1" si="0"/>
        <v>3.0068804994748191E-3</v>
      </c>
    </row>
    <row r="1537" spans="1:3" ht="13" x14ac:dyDescent="0.15">
      <c r="A1537" s="3">
        <f ca="1">IFERROR(__xludf.DUMMYFUNCTION("""COMPUTED_VALUE"""),42667.6666666666)</f>
        <v>42667.666666666599</v>
      </c>
      <c r="B1537" s="4">
        <f ca="1">IFERROR(__xludf.DUMMYFUNCTION("""COMPUTED_VALUE"""),813.11)</f>
        <v>813.11</v>
      </c>
      <c r="C1537" s="5">
        <f t="shared" ca="1" si="0"/>
        <v>1.7042484321506554E-2</v>
      </c>
    </row>
    <row r="1538" spans="1:3" ht="13" x14ac:dyDescent="0.15">
      <c r="A1538" s="3">
        <f ca="1">IFERROR(__xludf.DUMMYFUNCTION("""COMPUTED_VALUE"""),42668.6666666666)</f>
        <v>42668.666666666599</v>
      </c>
      <c r="B1538" s="4">
        <f ca="1">IFERROR(__xludf.DUMMYFUNCTION("""COMPUTED_VALUE"""),807.67)</f>
        <v>807.67</v>
      </c>
      <c r="C1538" s="5">
        <f t="shared" ca="1" si="0"/>
        <v>-6.7128424933756235E-3</v>
      </c>
    </row>
    <row r="1539" spans="1:3" ht="13" x14ac:dyDescent="0.15">
      <c r="A1539" s="3">
        <f ca="1">IFERROR(__xludf.DUMMYFUNCTION("""COMPUTED_VALUE"""),42669.6666666666)</f>
        <v>42669.666666666599</v>
      </c>
      <c r="B1539" s="4">
        <f ca="1">IFERROR(__xludf.DUMMYFUNCTION("""COMPUTED_VALUE"""),799.07)</f>
        <v>799.07</v>
      </c>
      <c r="C1539" s="5">
        <f t="shared" ca="1" si="0"/>
        <v>-1.0705007814370502E-2</v>
      </c>
    </row>
    <row r="1540" spans="1:3" ht="13" x14ac:dyDescent="0.15">
      <c r="A1540" s="3">
        <f ca="1">IFERROR(__xludf.DUMMYFUNCTION("""COMPUTED_VALUE"""),42670.6666666666)</f>
        <v>42670.666666666599</v>
      </c>
      <c r="B1540" s="4">
        <f ca="1">IFERROR(__xludf.DUMMYFUNCTION("""COMPUTED_VALUE"""),795.35)</f>
        <v>795.35</v>
      </c>
      <c r="C1540" s="5">
        <f t="shared" ca="1" si="0"/>
        <v>-4.666282096305898E-3</v>
      </c>
    </row>
    <row r="1541" spans="1:3" ht="13" x14ac:dyDescent="0.15">
      <c r="A1541" s="3">
        <f ca="1">IFERROR(__xludf.DUMMYFUNCTION("""COMPUTED_VALUE"""),42671.6666666666)</f>
        <v>42671.666666666599</v>
      </c>
      <c r="B1541" s="4">
        <f ca="1">IFERROR(__xludf.DUMMYFUNCTION("""COMPUTED_VALUE"""),795.37)</f>
        <v>795.37</v>
      </c>
      <c r="C1541" s="5">
        <f t="shared" ca="1" si="0"/>
        <v>2.5145845907624655E-5</v>
      </c>
    </row>
    <row r="1542" spans="1:3" ht="13" x14ac:dyDescent="0.15">
      <c r="A1542" s="3">
        <f ca="1">IFERROR(__xludf.DUMMYFUNCTION("""COMPUTED_VALUE"""),42674.6666666666)</f>
        <v>42674.666666666599</v>
      </c>
      <c r="B1542" s="4">
        <f ca="1">IFERROR(__xludf.DUMMYFUNCTION("""COMPUTED_VALUE"""),784.54)</f>
        <v>784.54</v>
      </c>
      <c r="C1542" s="5">
        <f t="shared" ca="1" si="0"/>
        <v>-1.3709856426652105E-2</v>
      </c>
    </row>
    <row r="1543" spans="1:3" ht="13" x14ac:dyDescent="0.15">
      <c r="A1543" s="3">
        <f ca="1">IFERROR(__xludf.DUMMYFUNCTION("""COMPUTED_VALUE"""),42675.6666666666)</f>
        <v>42675.666666666599</v>
      </c>
      <c r="B1543" s="4">
        <f ca="1">IFERROR(__xludf.DUMMYFUNCTION("""COMPUTED_VALUE"""),783.61)</f>
        <v>783.61</v>
      </c>
      <c r="C1543" s="5">
        <f t="shared" ca="1" si="0"/>
        <v>-1.186111161600013E-3</v>
      </c>
    </row>
    <row r="1544" spans="1:3" ht="13" x14ac:dyDescent="0.15">
      <c r="A1544" s="3">
        <f ca="1">IFERROR(__xludf.DUMMYFUNCTION("""COMPUTED_VALUE"""),42676.6666666666)</f>
        <v>42676.666666666599</v>
      </c>
      <c r="B1544" s="4">
        <f ca="1">IFERROR(__xludf.DUMMYFUNCTION("""COMPUTED_VALUE"""),768.7)</f>
        <v>768.7</v>
      </c>
      <c r="C1544" s="5">
        <f t="shared" ca="1" si="0"/>
        <v>-1.9210671246938517E-2</v>
      </c>
    </row>
    <row r="1545" spans="1:3" ht="13" x14ac:dyDescent="0.15">
      <c r="A1545" s="3">
        <f ca="1">IFERROR(__xludf.DUMMYFUNCTION("""COMPUTED_VALUE"""),42677.6666666666)</f>
        <v>42677.666666666599</v>
      </c>
      <c r="B1545" s="4">
        <f ca="1">IFERROR(__xludf.DUMMYFUNCTION("""COMPUTED_VALUE"""),762.13)</f>
        <v>762.13</v>
      </c>
      <c r="C1545" s="5">
        <f t="shared" ca="1" si="0"/>
        <v>-8.5836315450513404E-3</v>
      </c>
    </row>
    <row r="1546" spans="1:3" ht="13" x14ac:dyDescent="0.15">
      <c r="A1546" s="3">
        <f ca="1">IFERROR(__xludf.DUMMYFUNCTION("""COMPUTED_VALUE"""),42678.6666666666)</f>
        <v>42678.666666666599</v>
      </c>
      <c r="B1546" s="4">
        <f ca="1">IFERROR(__xludf.DUMMYFUNCTION("""COMPUTED_VALUE"""),762.02)</f>
        <v>762.02</v>
      </c>
      <c r="C1546" s="5">
        <f t="shared" ca="1" si="0"/>
        <v>-1.443427486678205E-4</v>
      </c>
    </row>
    <row r="1547" spans="1:3" ht="13" x14ac:dyDescent="0.15">
      <c r="A1547" s="3">
        <f ca="1">IFERROR(__xludf.DUMMYFUNCTION("""COMPUTED_VALUE"""),42681.6666666666)</f>
        <v>42681.666666666599</v>
      </c>
      <c r="B1547" s="4">
        <f ca="1">IFERROR(__xludf.DUMMYFUNCTION("""COMPUTED_VALUE"""),782.52)</f>
        <v>782.52</v>
      </c>
      <c r="C1547" s="5">
        <f t="shared" ca="1" si="0"/>
        <v>2.6546679131743904E-2</v>
      </c>
    </row>
    <row r="1548" spans="1:3" ht="13" x14ac:dyDescent="0.15">
      <c r="A1548" s="3">
        <f ca="1">IFERROR(__xludf.DUMMYFUNCTION("""COMPUTED_VALUE"""),42682.6666666666)</f>
        <v>42682.666666666599</v>
      </c>
      <c r="B1548" s="4">
        <f ca="1">IFERROR(__xludf.DUMMYFUNCTION("""COMPUTED_VALUE"""),790.51)</f>
        <v>790.51</v>
      </c>
      <c r="C1548" s="5">
        <f t="shared" ca="1" si="0"/>
        <v>1.0158825597781097E-2</v>
      </c>
    </row>
    <row r="1549" spans="1:3" ht="13" x14ac:dyDescent="0.15">
      <c r="A1549" s="3">
        <f ca="1">IFERROR(__xludf.DUMMYFUNCTION("""COMPUTED_VALUE"""),42683.6666666666)</f>
        <v>42683.666666666599</v>
      </c>
      <c r="B1549" s="4">
        <f ca="1">IFERROR(__xludf.DUMMYFUNCTION("""COMPUTED_VALUE"""),785.31)</f>
        <v>785.31</v>
      </c>
      <c r="C1549" s="5">
        <f t="shared" ca="1" si="0"/>
        <v>-6.5997625041284563E-3</v>
      </c>
    </row>
    <row r="1550" spans="1:3" ht="13" x14ac:dyDescent="0.15">
      <c r="A1550" s="3">
        <f ca="1">IFERROR(__xludf.DUMMYFUNCTION("""COMPUTED_VALUE"""),42684.6666666666)</f>
        <v>42684.666666666599</v>
      </c>
      <c r="B1550" s="4">
        <f ca="1">IFERROR(__xludf.DUMMYFUNCTION("""COMPUTED_VALUE"""),762.56)</f>
        <v>762.56</v>
      </c>
      <c r="C1550" s="5">
        <f t="shared" ca="1" si="0"/>
        <v>-2.9397350376386439E-2</v>
      </c>
    </row>
    <row r="1551" spans="1:3" ht="13" x14ac:dyDescent="0.15">
      <c r="A1551" s="3">
        <f ca="1">IFERROR(__xludf.DUMMYFUNCTION("""COMPUTED_VALUE"""),42685.6666666666)</f>
        <v>42685.666666666599</v>
      </c>
      <c r="B1551" s="4">
        <f ca="1">IFERROR(__xludf.DUMMYFUNCTION("""COMPUTED_VALUE"""),754.02)</f>
        <v>754.02</v>
      </c>
      <c r="C1551" s="5">
        <f t="shared" ca="1" si="0"/>
        <v>-1.1262301055269036E-2</v>
      </c>
    </row>
    <row r="1552" spans="1:3" ht="13" x14ac:dyDescent="0.15">
      <c r="A1552" s="3">
        <f ca="1">IFERROR(__xludf.DUMMYFUNCTION("""COMPUTED_VALUE"""),42688.6666666666)</f>
        <v>42688.666666666599</v>
      </c>
      <c r="B1552" s="4">
        <f ca="1">IFERROR(__xludf.DUMMYFUNCTION("""COMPUTED_VALUE"""),736.08)</f>
        <v>736.08</v>
      </c>
      <c r="C1552" s="5">
        <f t="shared" ca="1" si="0"/>
        <v>-2.4080084381002301E-2</v>
      </c>
    </row>
    <row r="1553" spans="1:3" ht="13" x14ac:dyDescent="0.15">
      <c r="A1553" s="3">
        <f ca="1">IFERROR(__xludf.DUMMYFUNCTION("""COMPUTED_VALUE"""),42689.6666666666)</f>
        <v>42689.666666666599</v>
      </c>
      <c r="B1553" s="4">
        <f ca="1">IFERROR(__xludf.DUMMYFUNCTION("""COMPUTED_VALUE"""),758.49)</f>
        <v>758.49</v>
      </c>
      <c r="C1553" s="5">
        <f t="shared" ca="1" si="0"/>
        <v>2.9990806311949683E-2</v>
      </c>
    </row>
    <row r="1554" spans="1:3" ht="13" x14ac:dyDescent="0.15">
      <c r="A1554" s="3">
        <f ca="1">IFERROR(__xludf.DUMMYFUNCTION("""COMPUTED_VALUE"""),42690.6666666666)</f>
        <v>42690.666666666599</v>
      </c>
      <c r="B1554" s="4">
        <f ca="1">IFERROR(__xludf.DUMMYFUNCTION("""COMPUTED_VALUE"""),764.48)</f>
        <v>764.48</v>
      </c>
      <c r="C1554" s="5">
        <f t="shared" ca="1" si="0"/>
        <v>7.8662493513892446E-3</v>
      </c>
    </row>
    <row r="1555" spans="1:3" ht="13" x14ac:dyDescent="0.15">
      <c r="A1555" s="3">
        <f ca="1">IFERROR(__xludf.DUMMYFUNCTION("""COMPUTED_VALUE"""),42691.6666666666)</f>
        <v>42691.666666666599</v>
      </c>
      <c r="B1555" s="4">
        <f ca="1">IFERROR(__xludf.DUMMYFUNCTION("""COMPUTED_VALUE"""),771.23)</f>
        <v>771.23</v>
      </c>
      <c r="C1555" s="5">
        <f t="shared" ca="1" si="0"/>
        <v>8.7907788172273821E-3</v>
      </c>
    </row>
    <row r="1556" spans="1:3" ht="13" x14ac:dyDescent="0.15">
      <c r="A1556" s="3">
        <f ca="1">IFERROR(__xludf.DUMMYFUNCTION("""COMPUTED_VALUE"""),42692.6666666666)</f>
        <v>42692.666666666599</v>
      </c>
      <c r="B1556" s="4">
        <f ca="1">IFERROR(__xludf.DUMMYFUNCTION("""COMPUTED_VALUE"""),760.54)</f>
        <v>760.54</v>
      </c>
      <c r="C1556" s="5">
        <f t="shared" ca="1" si="0"/>
        <v>-1.3957935662823179E-2</v>
      </c>
    </row>
    <row r="1557" spans="1:3" ht="13" x14ac:dyDescent="0.15">
      <c r="A1557" s="3">
        <f ca="1">IFERROR(__xludf.DUMMYFUNCTION("""COMPUTED_VALUE"""),42695.6666666666)</f>
        <v>42695.666666666599</v>
      </c>
      <c r="B1557" s="4">
        <f ca="1">IFERROR(__xludf.DUMMYFUNCTION("""COMPUTED_VALUE"""),769.2)</f>
        <v>769.2</v>
      </c>
      <c r="C1557" s="5">
        <f t="shared" ca="1" si="0"/>
        <v>1.1322306422775829E-2</v>
      </c>
    </row>
    <row r="1558" spans="1:3" ht="13" x14ac:dyDescent="0.15">
      <c r="A1558" s="3">
        <f ca="1">IFERROR(__xludf.DUMMYFUNCTION("""COMPUTED_VALUE"""),42696.6666666666)</f>
        <v>42696.666666666599</v>
      </c>
      <c r="B1558" s="4">
        <f ca="1">IFERROR(__xludf.DUMMYFUNCTION("""COMPUTED_VALUE"""),768.27)</f>
        <v>768.27</v>
      </c>
      <c r="C1558" s="5">
        <f t="shared" ca="1" si="0"/>
        <v>-1.2097798505681981E-3</v>
      </c>
    </row>
    <row r="1559" spans="1:3" ht="13" x14ac:dyDescent="0.15">
      <c r="A1559" s="3">
        <f ca="1">IFERROR(__xludf.DUMMYFUNCTION("""COMPUTED_VALUE"""),42697.6666666666)</f>
        <v>42697.666666666599</v>
      </c>
      <c r="B1559" s="4">
        <f ca="1">IFERROR(__xludf.DUMMYFUNCTION("""COMPUTED_VALUE"""),760.99)</f>
        <v>760.99</v>
      </c>
      <c r="C1559" s="5">
        <f t="shared" ca="1" si="0"/>
        <v>-9.5210166931770004E-3</v>
      </c>
    </row>
    <row r="1560" spans="1:3" ht="13" x14ac:dyDescent="0.15">
      <c r="A1560" s="3">
        <f ca="1">IFERROR(__xludf.DUMMYFUNCTION("""COMPUTED_VALUE"""),42699.6666666666)</f>
        <v>42699.666666666599</v>
      </c>
      <c r="B1560" s="4">
        <f ca="1">IFERROR(__xludf.DUMMYFUNCTION("""COMPUTED_VALUE"""),761.68)</f>
        <v>761.68</v>
      </c>
      <c r="C1560" s="5">
        <f t="shared" ca="1" si="0"/>
        <v>9.0630280655636293E-4</v>
      </c>
    </row>
    <row r="1561" spans="1:3" ht="13" x14ac:dyDescent="0.15">
      <c r="A1561" s="3">
        <f ca="1">IFERROR(__xludf.DUMMYFUNCTION("""COMPUTED_VALUE"""),42702.6666666666)</f>
        <v>42702.666666666599</v>
      </c>
      <c r="B1561" s="4">
        <f ca="1">IFERROR(__xludf.DUMMYFUNCTION("""COMPUTED_VALUE"""),768.24)</f>
        <v>768.24</v>
      </c>
      <c r="C1561" s="5">
        <f t="shared" ca="1" si="0"/>
        <v>8.5756643522813571E-3</v>
      </c>
    </row>
    <row r="1562" spans="1:3" ht="13" x14ac:dyDescent="0.15">
      <c r="A1562" s="3">
        <f ca="1">IFERROR(__xludf.DUMMYFUNCTION("""COMPUTED_VALUE"""),42703.6666666666)</f>
        <v>42703.666666666599</v>
      </c>
      <c r="B1562" s="4">
        <f ca="1">IFERROR(__xludf.DUMMYFUNCTION("""COMPUTED_VALUE"""),770.84)</f>
        <v>770.84</v>
      </c>
      <c r="C1562" s="5">
        <f t="shared" ca="1" si="0"/>
        <v>3.3786450000026294E-3</v>
      </c>
    </row>
    <row r="1563" spans="1:3" ht="13" x14ac:dyDescent="0.15">
      <c r="A1563" s="3">
        <f ca="1">IFERROR(__xludf.DUMMYFUNCTION("""COMPUTED_VALUE"""),42704.6666666666)</f>
        <v>42704.666666666599</v>
      </c>
      <c r="B1563" s="4">
        <f ca="1">IFERROR(__xludf.DUMMYFUNCTION("""COMPUTED_VALUE"""),758.04)</f>
        <v>758.04</v>
      </c>
      <c r="C1563" s="5">
        <f t="shared" ca="1" si="0"/>
        <v>-1.6744674631110668E-2</v>
      </c>
    </row>
    <row r="1564" spans="1:3" ht="13" x14ac:dyDescent="0.15">
      <c r="A1564" s="3">
        <f ca="1">IFERROR(__xludf.DUMMYFUNCTION("""COMPUTED_VALUE"""),42705.6666666666)</f>
        <v>42705.666666666599</v>
      </c>
      <c r="B1564" s="4">
        <f ca="1">IFERROR(__xludf.DUMMYFUNCTION("""COMPUTED_VALUE"""),747.92)</f>
        <v>747.92</v>
      </c>
      <c r="C1564" s="5">
        <f t="shared" ca="1" si="0"/>
        <v>-1.344013431554906E-2</v>
      </c>
    </row>
    <row r="1565" spans="1:3" ht="13" x14ac:dyDescent="0.15">
      <c r="A1565" s="3">
        <f ca="1">IFERROR(__xludf.DUMMYFUNCTION("""COMPUTED_VALUE"""),42706.6666666666)</f>
        <v>42706.666666666599</v>
      </c>
      <c r="B1565" s="4">
        <f ca="1">IFERROR(__xludf.DUMMYFUNCTION("""COMPUTED_VALUE"""),750.5)</f>
        <v>750.5</v>
      </c>
      <c r="C1565" s="5">
        <f t="shared" ca="1" si="0"/>
        <v>3.443630690456426E-3</v>
      </c>
    </row>
    <row r="1566" spans="1:3" ht="13" x14ac:dyDescent="0.15">
      <c r="A1566" s="3">
        <f ca="1">IFERROR(__xludf.DUMMYFUNCTION("""COMPUTED_VALUE"""),42709.6666666666)</f>
        <v>42709.666666666599</v>
      </c>
      <c r="B1566" s="4">
        <f ca="1">IFERROR(__xludf.DUMMYFUNCTION("""COMPUTED_VALUE"""),762.52)</f>
        <v>762.52</v>
      </c>
      <c r="C1566" s="5">
        <f t="shared" ca="1" si="0"/>
        <v>1.5889086572259209E-2</v>
      </c>
    </row>
    <row r="1567" spans="1:3" ht="13" x14ac:dyDescent="0.15">
      <c r="A1567" s="3">
        <f ca="1">IFERROR(__xludf.DUMMYFUNCTION("""COMPUTED_VALUE"""),42710.6666666666)</f>
        <v>42710.666666666599</v>
      </c>
      <c r="B1567" s="4">
        <f ca="1">IFERROR(__xludf.DUMMYFUNCTION("""COMPUTED_VALUE"""),759.11)</f>
        <v>759.11</v>
      </c>
      <c r="C1567" s="5">
        <f t="shared" ca="1" si="0"/>
        <v>-4.4820432148948014E-3</v>
      </c>
    </row>
    <row r="1568" spans="1:3" ht="13" x14ac:dyDescent="0.15">
      <c r="A1568" s="3">
        <f ca="1">IFERROR(__xludf.DUMMYFUNCTION("""COMPUTED_VALUE"""),42711.6666666666)</f>
        <v>42711.666666666599</v>
      </c>
      <c r="B1568" s="4">
        <f ca="1">IFERROR(__xludf.DUMMYFUNCTION("""COMPUTED_VALUE"""),771.19)</f>
        <v>771.19</v>
      </c>
      <c r="C1568" s="5">
        <f t="shared" ca="1" si="0"/>
        <v>1.5788081976405854E-2</v>
      </c>
    </row>
    <row r="1569" spans="1:3" ht="13" x14ac:dyDescent="0.15">
      <c r="A1569" s="3">
        <f ca="1">IFERROR(__xludf.DUMMYFUNCTION("""COMPUTED_VALUE"""),42712.6666666666)</f>
        <v>42712.666666666599</v>
      </c>
      <c r="B1569" s="4">
        <f ca="1">IFERROR(__xludf.DUMMYFUNCTION("""COMPUTED_VALUE"""),776.42)</f>
        <v>776.42</v>
      </c>
      <c r="C1569" s="5">
        <f t="shared" ca="1" si="0"/>
        <v>6.7588344733553905E-3</v>
      </c>
    </row>
    <row r="1570" spans="1:3" ht="13" x14ac:dyDescent="0.15">
      <c r="A1570" s="3">
        <f ca="1">IFERROR(__xludf.DUMMYFUNCTION("""COMPUTED_VALUE"""),42713.6666666666)</f>
        <v>42713.666666666599</v>
      </c>
      <c r="B1570" s="4">
        <f ca="1">IFERROR(__xludf.DUMMYFUNCTION("""COMPUTED_VALUE"""),789.29)</f>
        <v>789.29</v>
      </c>
      <c r="C1570" s="5">
        <f t="shared" ca="1" si="0"/>
        <v>1.6440196299509564E-2</v>
      </c>
    </row>
    <row r="1571" spans="1:3" ht="13" x14ac:dyDescent="0.15">
      <c r="A1571" s="3">
        <f ca="1">IFERROR(__xludf.DUMMYFUNCTION("""COMPUTED_VALUE"""),42716.6666666666)</f>
        <v>42716.666666666599</v>
      </c>
      <c r="B1571" s="4">
        <f ca="1">IFERROR(__xludf.DUMMYFUNCTION("""COMPUTED_VALUE"""),789.27)</f>
        <v>789.27</v>
      </c>
      <c r="C1571" s="5">
        <f t="shared" ca="1" si="0"/>
        <v>-2.5339549970908281E-5</v>
      </c>
    </row>
    <row r="1572" spans="1:3" ht="13" x14ac:dyDescent="0.15">
      <c r="A1572" s="3">
        <f ca="1">IFERROR(__xludf.DUMMYFUNCTION("""COMPUTED_VALUE"""),42717.6666666666)</f>
        <v>42717.666666666599</v>
      </c>
      <c r="B1572" s="4">
        <f ca="1">IFERROR(__xludf.DUMMYFUNCTION("""COMPUTED_VALUE"""),796.1)</f>
        <v>796.1</v>
      </c>
      <c r="C1572" s="5">
        <f t="shared" ca="1" si="0"/>
        <v>8.616338464351482E-3</v>
      </c>
    </row>
    <row r="1573" spans="1:3" ht="13" x14ac:dyDescent="0.15">
      <c r="A1573" s="3">
        <f ca="1">IFERROR(__xludf.DUMMYFUNCTION("""COMPUTED_VALUE"""),42718.6666666666)</f>
        <v>42718.666666666599</v>
      </c>
      <c r="B1573" s="4">
        <f ca="1">IFERROR(__xludf.DUMMYFUNCTION("""COMPUTED_VALUE"""),797.07)</f>
        <v>797.07</v>
      </c>
      <c r="C1573" s="5">
        <f t="shared" ca="1" si="0"/>
        <v>1.2176981990105347E-3</v>
      </c>
    </row>
    <row r="1574" spans="1:3" ht="13" x14ac:dyDescent="0.15">
      <c r="A1574" s="3">
        <f ca="1">IFERROR(__xludf.DUMMYFUNCTION("""COMPUTED_VALUE"""),42719.6666666666)</f>
        <v>42719.666666666599</v>
      </c>
      <c r="B1574" s="4">
        <f ca="1">IFERROR(__xludf.DUMMYFUNCTION("""COMPUTED_VALUE"""),797.85)</f>
        <v>797.85</v>
      </c>
      <c r="C1574" s="5">
        <f t="shared" ca="1" si="0"/>
        <v>9.7810556289315109E-4</v>
      </c>
    </row>
    <row r="1575" spans="1:3" ht="13" x14ac:dyDescent="0.15">
      <c r="A1575" s="3">
        <f ca="1">IFERROR(__xludf.DUMMYFUNCTION("""COMPUTED_VALUE"""),42720.6666666666)</f>
        <v>42720.666666666599</v>
      </c>
      <c r="B1575" s="4">
        <f ca="1">IFERROR(__xludf.DUMMYFUNCTION("""COMPUTED_VALUE"""),790.8)</f>
        <v>790.8</v>
      </c>
      <c r="C1575" s="5">
        <f t="shared" ca="1" si="0"/>
        <v>-8.8755185599745396E-3</v>
      </c>
    </row>
    <row r="1576" spans="1:3" ht="13" x14ac:dyDescent="0.15">
      <c r="A1576" s="3">
        <f ca="1">IFERROR(__xludf.DUMMYFUNCTION("""COMPUTED_VALUE"""),42723.6666666666)</f>
        <v>42723.666666666599</v>
      </c>
      <c r="B1576" s="4">
        <f ca="1">IFERROR(__xludf.DUMMYFUNCTION("""COMPUTED_VALUE"""),794.2)</f>
        <v>794.2</v>
      </c>
      <c r="C1576" s="5">
        <f t="shared" ca="1" si="0"/>
        <v>4.2902274006892758E-3</v>
      </c>
    </row>
    <row r="1577" spans="1:3" ht="13" x14ac:dyDescent="0.15">
      <c r="A1577" s="3">
        <f ca="1">IFERROR(__xludf.DUMMYFUNCTION("""COMPUTED_VALUE"""),42724.6666666666)</f>
        <v>42724.666666666599</v>
      </c>
      <c r="B1577" s="4">
        <f ca="1">IFERROR(__xludf.DUMMYFUNCTION("""COMPUTED_VALUE"""),796.42)</f>
        <v>796.42</v>
      </c>
      <c r="C1577" s="5">
        <f t="shared" ca="1" si="0"/>
        <v>2.7913661861022065E-3</v>
      </c>
    </row>
    <row r="1578" spans="1:3" ht="13" x14ac:dyDescent="0.15">
      <c r="A1578" s="3">
        <f ca="1">IFERROR(__xludf.DUMMYFUNCTION("""COMPUTED_VALUE"""),42725.6666666666)</f>
        <v>42725.666666666599</v>
      </c>
      <c r="B1578" s="4">
        <f ca="1">IFERROR(__xludf.DUMMYFUNCTION("""COMPUTED_VALUE"""),794.56)</f>
        <v>794.56</v>
      </c>
      <c r="C1578" s="5">
        <f t="shared" ca="1" si="0"/>
        <v>-2.3381825634515223E-3</v>
      </c>
    </row>
    <row r="1579" spans="1:3" ht="13" x14ac:dyDescent="0.15">
      <c r="A1579" s="3">
        <f ca="1">IFERROR(__xludf.DUMMYFUNCTION("""COMPUTED_VALUE"""),42726.6666666666)</f>
        <v>42726.666666666599</v>
      </c>
      <c r="B1579" s="4">
        <f ca="1">IFERROR(__xludf.DUMMYFUNCTION("""COMPUTED_VALUE"""),791.26)</f>
        <v>791.26</v>
      </c>
      <c r="C1579" s="5">
        <f t="shared" ca="1" si="0"/>
        <v>-4.1618907106298611E-3</v>
      </c>
    </row>
    <row r="1580" spans="1:3" ht="13" x14ac:dyDescent="0.15">
      <c r="A1580" s="3">
        <f ca="1">IFERROR(__xludf.DUMMYFUNCTION("""COMPUTED_VALUE"""),42727.6666666666)</f>
        <v>42727.666666666599</v>
      </c>
      <c r="B1580" s="4">
        <f ca="1">IFERROR(__xludf.DUMMYFUNCTION("""COMPUTED_VALUE"""),789.91)</f>
        <v>789.91</v>
      </c>
      <c r="C1580" s="5">
        <f t="shared" ca="1" si="0"/>
        <v>-1.7075966885752127E-3</v>
      </c>
    </row>
    <row r="1581" spans="1:3" ht="13" x14ac:dyDescent="0.15">
      <c r="A1581" s="3">
        <f ca="1">IFERROR(__xludf.DUMMYFUNCTION("""COMPUTED_VALUE"""),42731.6666666666)</f>
        <v>42731.666666666599</v>
      </c>
      <c r="B1581" s="4">
        <f ca="1">IFERROR(__xludf.DUMMYFUNCTION("""COMPUTED_VALUE"""),791.55)</f>
        <v>791.55</v>
      </c>
      <c r="C1581" s="5">
        <f t="shared" ca="1" si="0"/>
        <v>2.0740335991897272E-3</v>
      </c>
    </row>
    <row r="1582" spans="1:3" ht="13" x14ac:dyDescent="0.15">
      <c r="A1582" s="3">
        <f ca="1">IFERROR(__xludf.DUMMYFUNCTION("""COMPUTED_VALUE"""),42732.6666666666)</f>
        <v>42732.666666666599</v>
      </c>
      <c r="B1582" s="4">
        <f ca="1">IFERROR(__xludf.DUMMYFUNCTION("""COMPUTED_VALUE"""),785.05)</f>
        <v>785.05</v>
      </c>
      <c r="C1582" s="5">
        <f t="shared" ca="1" si="0"/>
        <v>-8.2456384982558875E-3</v>
      </c>
    </row>
    <row r="1583" spans="1:3" ht="13" x14ac:dyDescent="0.15">
      <c r="A1583" s="3">
        <f ca="1">IFERROR(__xludf.DUMMYFUNCTION("""COMPUTED_VALUE"""),42733.6666666666)</f>
        <v>42733.666666666599</v>
      </c>
      <c r="B1583" s="4">
        <f ca="1">IFERROR(__xludf.DUMMYFUNCTION("""COMPUTED_VALUE"""),782.79)</f>
        <v>782.79</v>
      </c>
      <c r="C1583" s="5">
        <f t="shared" ca="1" si="0"/>
        <v>-2.8829492362903671E-3</v>
      </c>
    </row>
    <row r="1584" spans="1:3" ht="13" x14ac:dyDescent="0.15">
      <c r="A1584" s="3">
        <f ca="1">IFERROR(__xludf.DUMMYFUNCTION("""COMPUTED_VALUE"""),42734.6666666666)</f>
        <v>42734.666666666599</v>
      </c>
      <c r="B1584" s="4">
        <f ca="1">IFERROR(__xludf.DUMMYFUNCTION("""COMPUTED_VALUE"""),771.82)</f>
        <v>771.82</v>
      </c>
      <c r="C1584" s="5">
        <f t="shared" ca="1" si="0"/>
        <v>-1.4113098568389276E-2</v>
      </c>
    </row>
    <row r="1585" spans="1:3" ht="13" x14ac:dyDescent="0.15">
      <c r="A1585" s="3">
        <f ca="1">IFERROR(__xludf.DUMMYFUNCTION("""COMPUTED_VALUE"""),42738.6666666666)</f>
        <v>42738.666666666599</v>
      </c>
      <c r="B1585" s="4">
        <f ca="1">IFERROR(__xludf.DUMMYFUNCTION("""COMPUTED_VALUE"""),786.14)</f>
        <v>786.14</v>
      </c>
      <c r="C1585" s="5">
        <f t="shared" ca="1" si="0"/>
        <v>1.8383531399743559E-2</v>
      </c>
    </row>
    <row r="1586" spans="1:3" ht="13" x14ac:dyDescent="0.15">
      <c r="A1586" s="3">
        <f ca="1">IFERROR(__xludf.DUMMYFUNCTION("""COMPUTED_VALUE"""),42739.6666666666)</f>
        <v>42739.666666666599</v>
      </c>
      <c r="B1586" s="4">
        <f ca="1">IFERROR(__xludf.DUMMYFUNCTION("""COMPUTED_VALUE"""),786.9)</f>
        <v>786.9</v>
      </c>
      <c r="C1586" s="5">
        <f t="shared" ca="1" si="0"/>
        <v>9.6628192434325378E-4</v>
      </c>
    </row>
    <row r="1587" spans="1:3" ht="13" x14ac:dyDescent="0.15">
      <c r="A1587" s="3">
        <f ca="1">IFERROR(__xludf.DUMMYFUNCTION("""COMPUTED_VALUE"""),42740.6666666666)</f>
        <v>42740.666666666599</v>
      </c>
      <c r="B1587" s="4">
        <f ca="1">IFERROR(__xludf.DUMMYFUNCTION("""COMPUTED_VALUE"""),794.02)</f>
        <v>794.02</v>
      </c>
      <c r="C1587" s="5">
        <f t="shared" ca="1" si="0"/>
        <v>9.0074743058392477E-3</v>
      </c>
    </row>
    <row r="1588" spans="1:3" ht="13" x14ac:dyDescent="0.15">
      <c r="A1588" s="3">
        <f ca="1">IFERROR(__xludf.DUMMYFUNCTION("""COMPUTED_VALUE"""),42741.6666666666)</f>
        <v>42741.666666666599</v>
      </c>
      <c r="B1588" s="4">
        <f ca="1">IFERROR(__xludf.DUMMYFUNCTION("""COMPUTED_VALUE"""),806.15)</f>
        <v>806.15</v>
      </c>
      <c r="C1588" s="5">
        <f t="shared" ca="1" si="0"/>
        <v>1.5161179562971833E-2</v>
      </c>
    </row>
    <row r="1589" spans="1:3" ht="13" x14ac:dyDescent="0.15">
      <c r="A1589" s="3">
        <f ca="1">IFERROR(__xludf.DUMMYFUNCTION("""COMPUTED_VALUE"""),42744.6666666666)</f>
        <v>42744.666666666599</v>
      </c>
      <c r="B1589" s="4">
        <f ca="1">IFERROR(__xludf.DUMMYFUNCTION("""COMPUTED_VALUE"""),806.65)</f>
        <v>806.65</v>
      </c>
      <c r="C1589" s="5">
        <f t="shared" ca="1" si="0"/>
        <v>6.2003970240424411E-4</v>
      </c>
    </row>
    <row r="1590" spans="1:3" ht="13" x14ac:dyDescent="0.15">
      <c r="A1590" s="3">
        <f ca="1">IFERROR(__xludf.DUMMYFUNCTION("""COMPUTED_VALUE"""),42745.6666666666)</f>
        <v>42745.666666666599</v>
      </c>
      <c r="B1590" s="4">
        <f ca="1">IFERROR(__xludf.DUMMYFUNCTION("""COMPUTED_VALUE"""),804.79)</f>
        <v>804.79</v>
      </c>
      <c r="C1590" s="5">
        <f t="shared" ca="1" si="0"/>
        <v>-2.3084952911908777E-3</v>
      </c>
    </row>
    <row r="1591" spans="1:3" ht="13" x14ac:dyDescent="0.15">
      <c r="A1591" s="3">
        <f ca="1">IFERROR(__xludf.DUMMYFUNCTION("""COMPUTED_VALUE"""),42746.6666666666)</f>
        <v>42746.666666666599</v>
      </c>
      <c r="B1591" s="4">
        <f ca="1">IFERROR(__xludf.DUMMYFUNCTION("""COMPUTED_VALUE"""),807.91)</f>
        <v>807.91</v>
      </c>
      <c r="C1591" s="5">
        <f t="shared" ca="1" si="0"/>
        <v>3.8692923576227702E-3</v>
      </c>
    </row>
    <row r="1592" spans="1:3" ht="13" x14ac:dyDescent="0.15">
      <c r="A1592" s="3">
        <f ca="1">IFERROR(__xludf.DUMMYFUNCTION("""COMPUTED_VALUE"""),42747.6666666666)</f>
        <v>42747.666666666599</v>
      </c>
      <c r="B1592" s="4">
        <f ca="1">IFERROR(__xludf.DUMMYFUNCTION("""COMPUTED_VALUE"""),806.36)</f>
        <v>806.36</v>
      </c>
      <c r="C1592" s="5">
        <f t="shared" ca="1" si="0"/>
        <v>-1.9203732663620107E-3</v>
      </c>
    </row>
    <row r="1593" spans="1:3" ht="13" x14ac:dyDescent="0.15">
      <c r="A1593" s="3">
        <f ca="1">IFERROR(__xludf.DUMMYFUNCTION("""COMPUTED_VALUE"""),42748.6666666666)</f>
        <v>42748.666666666599</v>
      </c>
      <c r="B1593" s="4">
        <f ca="1">IFERROR(__xludf.DUMMYFUNCTION("""COMPUTED_VALUE"""),807.88)</f>
        <v>807.88</v>
      </c>
      <c r="C1593" s="5">
        <f t="shared" ca="1" si="0"/>
        <v>1.8832397279648725E-3</v>
      </c>
    </row>
    <row r="1594" spans="1:3" ht="13" x14ac:dyDescent="0.15">
      <c r="A1594" s="3">
        <f ca="1">IFERROR(__xludf.DUMMYFUNCTION("""COMPUTED_VALUE"""),42752.6666666666)</f>
        <v>42752.666666666599</v>
      </c>
      <c r="B1594" s="4">
        <f ca="1">IFERROR(__xludf.DUMMYFUNCTION("""COMPUTED_VALUE"""),804.61)</f>
        <v>804.61</v>
      </c>
      <c r="C1594" s="5">
        <f t="shared" ca="1" si="0"/>
        <v>-4.0558446658149365E-3</v>
      </c>
    </row>
    <row r="1595" spans="1:3" ht="13" x14ac:dyDescent="0.15">
      <c r="A1595" s="3">
        <f ca="1">IFERROR(__xludf.DUMMYFUNCTION("""COMPUTED_VALUE"""),42753.6666666666)</f>
        <v>42753.666666666599</v>
      </c>
      <c r="B1595" s="4">
        <f ca="1">IFERROR(__xludf.DUMMYFUNCTION("""COMPUTED_VALUE"""),806.07)</f>
        <v>806.07</v>
      </c>
      <c r="C1595" s="5">
        <f t="shared" ca="1" si="0"/>
        <v>1.8128993963669336E-3</v>
      </c>
    </row>
    <row r="1596" spans="1:3" ht="13" x14ac:dyDescent="0.15">
      <c r="A1596" s="3">
        <f ca="1">IFERROR(__xludf.DUMMYFUNCTION("""COMPUTED_VALUE"""),42754.6666666666)</f>
        <v>42754.666666666599</v>
      </c>
      <c r="B1596" s="4">
        <f ca="1">IFERROR(__xludf.DUMMYFUNCTION("""COMPUTED_VALUE"""),802.18)</f>
        <v>802.18</v>
      </c>
      <c r="C1596" s="5">
        <f t="shared" ca="1" si="0"/>
        <v>-4.8375657841247975E-3</v>
      </c>
    </row>
    <row r="1597" spans="1:3" ht="13" x14ac:dyDescent="0.15">
      <c r="A1597" s="3">
        <f ca="1">IFERROR(__xludf.DUMMYFUNCTION("""COMPUTED_VALUE"""),42755.6666666666)</f>
        <v>42755.666666666599</v>
      </c>
      <c r="B1597" s="4">
        <f ca="1">IFERROR(__xludf.DUMMYFUNCTION("""COMPUTED_VALUE"""),805.02)</f>
        <v>805.02</v>
      </c>
      <c r="C1597" s="5">
        <f t="shared" ca="1" si="0"/>
        <v>3.534100243820244E-3</v>
      </c>
    </row>
    <row r="1598" spans="1:3" ht="13" x14ac:dyDescent="0.15">
      <c r="A1598" s="3">
        <f ca="1">IFERROR(__xludf.DUMMYFUNCTION("""COMPUTED_VALUE"""),42758.6666666666)</f>
        <v>42758.666666666599</v>
      </c>
      <c r="B1598" s="4">
        <f ca="1">IFERROR(__xludf.DUMMYFUNCTION("""COMPUTED_VALUE"""),819.31)</f>
        <v>819.31</v>
      </c>
      <c r="C1598" s="5">
        <f t="shared" ca="1" si="0"/>
        <v>1.7595400784162354E-2</v>
      </c>
    </row>
    <row r="1599" spans="1:3" ht="13" x14ac:dyDescent="0.15">
      <c r="A1599" s="3">
        <f ca="1">IFERROR(__xludf.DUMMYFUNCTION("""COMPUTED_VALUE"""),42759.6666666666)</f>
        <v>42759.666666666599</v>
      </c>
      <c r="B1599" s="4">
        <f ca="1">IFERROR(__xludf.DUMMYFUNCTION("""COMPUTED_VALUE"""),823.87)</f>
        <v>823.87</v>
      </c>
      <c r="C1599" s="5">
        <f t="shared" ca="1" si="0"/>
        <v>5.5502278580620203E-3</v>
      </c>
    </row>
    <row r="1600" spans="1:3" ht="13" x14ac:dyDescent="0.15">
      <c r="A1600" s="3">
        <f ca="1">IFERROR(__xludf.DUMMYFUNCTION("""COMPUTED_VALUE"""),42760.6666666666)</f>
        <v>42760.666666666599</v>
      </c>
      <c r="B1600" s="4">
        <f ca="1">IFERROR(__xludf.DUMMYFUNCTION("""COMPUTED_VALUE"""),835.67)</f>
        <v>835.67</v>
      </c>
      <c r="C1600" s="5">
        <f t="shared" ca="1" si="0"/>
        <v>1.4221047840840944E-2</v>
      </c>
    </row>
    <row r="1601" spans="1:3" ht="13" x14ac:dyDescent="0.15">
      <c r="A1601" s="3">
        <f ca="1">IFERROR(__xludf.DUMMYFUNCTION("""COMPUTED_VALUE"""),42761.6666666666)</f>
        <v>42761.666666666599</v>
      </c>
      <c r="B1601" s="4">
        <f ca="1">IFERROR(__xludf.DUMMYFUNCTION("""COMPUTED_VALUE"""),832.15)</f>
        <v>832.15</v>
      </c>
      <c r="C1601" s="5">
        <f t="shared" ca="1" si="0"/>
        <v>-4.2210852807653331E-3</v>
      </c>
    </row>
    <row r="1602" spans="1:3" ht="13" x14ac:dyDescent="0.15">
      <c r="A1602" s="3">
        <f ca="1">IFERROR(__xludf.DUMMYFUNCTION("""COMPUTED_VALUE"""),42762.6666666666)</f>
        <v>42762.666666666599</v>
      </c>
      <c r="B1602" s="4">
        <f ca="1">IFERROR(__xludf.DUMMYFUNCTION("""COMPUTED_VALUE"""),823.31)</f>
        <v>823.31</v>
      </c>
      <c r="C1602" s="5">
        <f t="shared" ca="1" si="0"/>
        <v>-1.0679912561381675E-2</v>
      </c>
    </row>
    <row r="1603" spans="1:3" ht="13" x14ac:dyDescent="0.15">
      <c r="A1603" s="3">
        <f ca="1">IFERROR(__xludf.DUMMYFUNCTION("""COMPUTED_VALUE"""),42765.6666666666)</f>
        <v>42765.666666666599</v>
      </c>
      <c r="B1603" s="4">
        <f ca="1">IFERROR(__xludf.DUMMYFUNCTION("""COMPUTED_VALUE"""),802.32)</f>
        <v>802.32</v>
      </c>
      <c r="C1603" s="5">
        <f t="shared" ca="1" si="0"/>
        <v>-2.5825269691400879E-2</v>
      </c>
    </row>
    <row r="1604" spans="1:3" ht="13" x14ac:dyDescent="0.15">
      <c r="A1604" s="3">
        <f ca="1">IFERROR(__xludf.DUMMYFUNCTION("""COMPUTED_VALUE"""),42766.6666666666)</f>
        <v>42766.666666666599</v>
      </c>
      <c r="B1604" s="4">
        <f ca="1">IFERROR(__xludf.DUMMYFUNCTION("""COMPUTED_VALUE"""),796.79)</f>
        <v>796.79</v>
      </c>
      <c r="C1604" s="5">
        <f t="shared" ca="1" si="0"/>
        <v>-6.916374789122169E-3</v>
      </c>
    </row>
    <row r="1605" spans="1:3" ht="13" x14ac:dyDescent="0.15">
      <c r="A1605" s="3">
        <f ca="1">IFERROR(__xludf.DUMMYFUNCTION("""COMPUTED_VALUE"""),42767.6666666666)</f>
        <v>42767.666666666599</v>
      </c>
      <c r="B1605" s="4">
        <f ca="1">IFERROR(__xludf.DUMMYFUNCTION("""COMPUTED_VALUE"""),795.7)</f>
        <v>795.7</v>
      </c>
      <c r="C1605" s="5">
        <f t="shared" ca="1" si="0"/>
        <v>-1.368925607341621E-3</v>
      </c>
    </row>
    <row r="1606" spans="1:3" ht="13" x14ac:dyDescent="0.15">
      <c r="A1606" s="3">
        <f ca="1">IFERROR(__xludf.DUMMYFUNCTION("""COMPUTED_VALUE"""),42768.6666666666)</f>
        <v>42768.666666666599</v>
      </c>
      <c r="B1606" s="4">
        <f ca="1">IFERROR(__xludf.DUMMYFUNCTION("""COMPUTED_VALUE"""),798.53)</f>
        <v>798.53</v>
      </c>
      <c r="C1606" s="5">
        <f t="shared" ca="1" si="0"/>
        <v>3.5503070104100777E-3</v>
      </c>
    </row>
    <row r="1607" spans="1:3" ht="13" x14ac:dyDescent="0.15">
      <c r="A1607" s="3">
        <f ca="1">IFERROR(__xludf.DUMMYFUNCTION("""COMPUTED_VALUE"""),42769.6666666666)</f>
        <v>42769.666666666599</v>
      </c>
      <c r="B1607" s="4">
        <f ca="1">IFERROR(__xludf.DUMMYFUNCTION("""COMPUTED_VALUE"""),801.49)</f>
        <v>801.49</v>
      </c>
      <c r="C1607" s="5">
        <f t="shared" ca="1" si="0"/>
        <v>3.6999579715119332E-3</v>
      </c>
    </row>
    <row r="1608" spans="1:3" ht="13" x14ac:dyDescent="0.15">
      <c r="A1608" s="3">
        <f ca="1">IFERROR(__xludf.DUMMYFUNCTION("""COMPUTED_VALUE"""),42772.6666666666)</f>
        <v>42772.666666666599</v>
      </c>
      <c r="B1608" s="4">
        <f ca="1">IFERROR(__xludf.DUMMYFUNCTION("""COMPUTED_VALUE"""),801.34)</f>
        <v>801.34</v>
      </c>
      <c r="C1608" s="5">
        <f t="shared" ca="1" si="0"/>
        <v>-1.8716894547507714E-4</v>
      </c>
    </row>
    <row r="1609" spans="1:3" ht="13" x14ac:dyDescent="0.15">
      <c r="A1609" s="3">
        <f ca="1">IFERROR(__xludf.DUMMYFUNCTION("""COMPUTED_VALUE"""),42773.6666666666)</f>
        <v>42773.666666666599</v>
      </c>
      <c r="B1609" s="4">
        <f ca="1">IFERROR(__xludf.DUMMYFUNCTION("""COMPUTED_VALUE"""),806.97)</f>
        <v>806.97</v>
      </c>
      <c r="C1609" s="5">
        <f t="shared" ca="1" si="0"/>
        <v>7.0011664378260355E-3</v>
      </c>
    </row>
    <row r="1610" spans="1:3" ht="13" x14ac:dyDescent="0.15">
      <c r="A1610" s="3">
        <f ca="1">IFERROR(__xludf.DUMMYFUNCTION("""COMPUTED_VALUE"""),42774.6666666666)</f>
        <v>42774.666666666599</v>
      </c>
      <c r="B1610" s="4">
        <f ca="1">IFERROR(__xludf.DUMMYFUNCTION("""COMPUTED_VALUE"""),808.38)</f>
        <v>808.38</v>
      </c>
      <c r="C1610" s="5">
        <f t="shared" ca="1" si="0"/>
        <v>1.7457521380492174E-3</v>
      </c>
    </row>
    <row r="1611" spans="1:3" ht="13" x14ac:dyDescent="0.15">
      <c r="A1611" s="3">
        <f ca="1">IFERROR(__xludf.DUMMYFUNCTION("""COMPUTED_VALUE"""),42775.6666666666)</f>
        <v>42775.666666666599</v>
      </c>
      <c r="B1611" s="4">
        <f ca="1">IFERROR(__xludf.DUMMYFUNCTION("""COMPUTED_VALUE"""),809.56)</f>
        <v>809.56</v>
      </c>
      <c r="C1611" s="5">
        <f t="shared" ca="1" si="0"/>
        <v>1.4586452021933644E-3</v>
      </c>
    </row>
    <row r="1612" spans="1:3" ht="13" x14ac:dyDescent="0.15">
      <c r="A1612" s="3">
        <f ca="1">IFERROR(__xludf.DUMMYFUNCTION("""COMPUTED_VALUE"""),42776.6666666666)</f>
        <v>42776.666666666599</v>
      </c>
      <c r="B1612" s="4">
        <f ca="1">IFERROR(__xludf.DUMMYFUNCTION("""COMPUTED_VALUE"""),813.67)</f>
        <v>813.67</v>
      </c>
      <c r="C1612" s="5">
        <f t="shared" ca="1" si="0"/>
        <v>5.0639882001418859E-3</v>
      </c>
    </row>
    <row r="1613" spans="1:3" ht="13" x14ac:dyDescent="0.15">
      <c r="A1613" s="3">
        <f ca="1">IFERROR(__xludf.DUMMYFUNCTION("""COMPUTED_VALUE"""),42779.6666666666)</f>
        <v>42779.666666666599</v>
      </c>
      <c r="B1613" s="4">
        <f ca="1">IFERROR(__xludf.DUMMYFUNCTION("""COMPUTED_VALUE"""),819.24)</f>
        <v>819.24</v>
      </c>
      <c r="C1613" s="5">
        <f t="shared" ca="1" si="0"/>
        <v>6.8222028200424318E-3</v>
      </c>
    </row>
    <row r="1614" spans="1:3" ht="13" x14ac:dyDescent="0.15">
      <c r="A1614" s="3">
        <f ca="1">IFERROR(__xludf.DUMMYFUNCTION("""COMPUTED_VALUE"""),42780.6666666666)</f>
        <v>42780.666666666599</v>
      </c>
      <c r="B1614" s="4">
        <f ca="1">IFERROR(__xludf.DUMMYFUNCTION("""COMPUTED_VALUE"""),820.45)</f>
        <v>820.45</v>
      </c>
      <c r="C1614" s="5">
        <f t="shared" ca="1" si="0"/>
        <v>1.47588900297012E-3</v>
      </c>
    </row>
    <row r="1615" spans="1:3" ht="13" x14ac:dyDescent="0.15">
      <c r="A1615" s="3">
        <f ca="1">IFERROR(__xludf.DUMMYFUNCTION("""COMPUTED_VALUE"""),42781.6666666666)</f>
        <v>42781.666666666599</v>
      </c>
      <c r="B1615" s="4">
        <f ca="1">IFERROR(__xludf.DUMMYFUNCTION("""COMPUTED_VALUE"""),818.98)</f>
        <v>818.98</v>
      </c>
      <c r="C1615" s="5">
        <f t="shared" ca="1" si="0"/>
        <v>-1.7933066906836337E-3</v>
      </c>
    </row>
    <row r="1616" spans="1:3" ht="13" x14ac:dyDescent="0.15">
      <c r="A1616" s="3">
        <f ca="1">IFERROR(__xludf.DUMMYFUNCTION("""COMPUTED_VALUE"""),42782.6666666666)</f>
        <v>42782.666666666599</v>
      </c>
      <c r="B1616" s="4">
        <f ca="1">IFERROR(__xludf.DUMMYFUNCTION("""COMPUTED_VALUE"""),824.16)</f>
        <v>824.16</v>
      </c>
      <c r="C1616" s="5">
        <f t="shared" ca="1" si="0"/>
        <v>6.3050222867992861E-3</v>
      </c>
    </row>
    <row r="1617" spans="1:3" ht="13" x14ac:dyDescent="0.15">
      <c r="A1617" s="3">
        <f ca="1">IFERROR(__xludf.DUMMYFUNCTION("""COMPUTED_VALUE"""),42783.6666666666)</f>
        <v>42783.666666666599</v>
      </c>
      <c r="B1617" s="4">
        <f ca="1">IFERROR(__xludf.DUMMYFUNCTION("""COMPUTED_VALUE"""),828.07)</f>
        <v>828.07</v>
      </c>
      <c r="C1617" s="5">
        <f t="shared" ca="1" si="0"/>
        <v>4.7330060573923033E-3</v>
      </c>
    </row>
    <row r="1618" spans="1:3" ht="13" x14ac:dyDescent="0.15">
      <c r="A1618" s="3">
        <f ca="1">IFERROR(__xludf.DUMMYFUNCTION("""COMPUTED_VALUE"""),42787.6666666666)</f>
        <v>42787.666666666599</v>
      </c>
      <c r="B1618" s="4">
        <f ca="1">IFERROR(__xludf.DUMMYFUNCTION("""COMPUTED_VALUE"""),831.66)</f>
        <v>831.66</v>
      </c>
      <c r="C1618" s="5">
        <f t="shared" ca="1" si="0"/>
        <v>4.326011578649082E-3</v>
      </c>
    </row>
    <row r="1619" spans="1:3" ht="13" x14ac:dyDescent="0.15">
      <c r="A1619" s="3">
        <f ca="1">IFERROR(__xludf.DUMMYFUNCTION("""COMPUTED_VALUE"""),42788.6666666666)</f>
        <v>42788.666666666599</v>
      </c>
      <c r="B1619" s="4">
        <f ca="1">IFERROR(__xludf.DUMMYFUNCTION("""COMPUTED_VALUE"""),830.76)</f>
        <v>830.76</v>
      </c>
      <c r="C1619" s="5">
        <f t="shared" ca="1" si="0"/>
        <v>-1.0827589753822449E-3</v>
      </c>
    </row>
    <row r="1620" spans="1:3" ht="13" x14ac:dyDescent="0.15">
      <c r="A1620" s="3">
        <f ca="1">IFERROR(__xludf.DUMMYFUNCTION("""COMPUTED_VALUE"""),42789.6666666666)</f>
        <v>42789.666666666599</v>
      </c>
      <c r="B1620" s="4">
        <f ca="1">IFERROR(__xludf.DUMMYFUNCTION("""COMPUTED_VALUE"""),831.33)</f>
        <v>831.33</v>
      </c>
      <c r="C1620" s="5">
        <f t="shared" ca="1" si="0"/>
        <v>6.8588346280385143E-4</v>
      </c>
    </row>
    <row r="1621" spans="1:3" ht="13" x14ac:dyDescent="0.15">
      <c r="A1621" s="3">
        <f ca="1">IFERROR(__xludf.DUMMYFUNCTION("""COMPUTED_VALUE"""),42790.6666666666)</f>
        <v>42790.666666666599</v>
      </c>
      <c r="B1621" s="4">
        <f ca="1">IFERROR(__xludf.DUMMYFUNCTION("""COMPUTED_VALUE"""),828.64)</f>
        <v>828.64</v>
      </c>
      <c r="C1621" s="5">
        <f t="shared" ca="1" si="0"/>
        <v>-3.241025265156842E-3</v>
      </c>
    </row>
    <row r="1622" spans="1:3" ht="13" x14ac:dyDescent="0.15">
      <c r="A1622" s="3">
        <f ca="1">IFERROR(__xludf.DUMMYFUNCTION("""COMPUTED_VALUE"""),42793.6666666666)</f>
        <v>42793.666666666599</v>
      </c>
      <c r="B1622" s="4">
        <f ca="1">IFERROR(__xludf.DUMMYFUNCTION("""COMPUTED_VALUE"""),829.28)</f>
        <v>829.28</v>
      </c>
      <c r="C1622" s="5">
        <f t="shared" ca="1" si="0"/>
        <v>7.7205176581509336E-4</v>
      </c>
    </row>
    <row r="1623" spans="1:3" ht="13" x14ac:dyDescent="0.15">
      <c r="A1623" s="3">
        <f ca="1">IFERROR(__xludf.DUMMYFUNCTION("""COMPUTED_VALUE"""),42794.6666666666)</f>
        <v>42794.666666666599</v>
      </c>
      <c r="B1623" s="4">
        <f ca="1">IFERROR(__xludf.DUMMYFUNCTION("""COMPUTED_VALUE"""),823.21)</f>
        <v>823.21</v>
      </c>
      <c r="C1623" s="5">
        <f t="shared" ca="1" si="0"/>
        <v>-7.346522279110093E-3</v>
      </c>
    </row>
    <row r="1624" spans="1:3" ht="13" x14ac:dyDescent="0.15">
      <c r="A1624" s="3">
        <f ca="1">IFERROR(__xludf.DUMMYFUNCTION("""COMPUTED_VALUE"""),42795.6666666666)</f>
        <v>42795.666666666599</v>
      </c>
      <c r="B1624" s="4">
        <f ca="1">IFERROR(__xludf.DUMMYFUNCTION("""COMPUTED_VALUE"""),835.24)</f>
        <v>835.24</v>
      </c>
      <c r="C1624" s="5">
        <f t="shared" ca="1" si="0"/>
        <v>1.45077765395748E-2</v>
      </c>
    </row>
    <row r="1625" spans="1:3" ht="13" x14ac:dyDescent="0.15">
      <c r="A1625" s="3">
        <f ca="1">IFERROR(__xludf.DUMMYFUNCTION("""COMPUTED_VALUE"""),42796.6666666666)</f>
        <v>42796.666666666599</v>
      </c>
      <c r="B1625" s="4">
        <f ca="1">IFERROR(__xludf.DUMMYFUNCTION("""COMPUTED_VALUE"""),830.63)</f>
        <v>830.63</v>
      </c>
      <c r="C1625" s="5">
        <f t="shared" ca="1" si="0"/>
        <v>-5.534659688887146E-3</v>
      </c>
    </row>
    <row r="1626" spans="1:3" ht="13" x14ac:dyDescent="0.15">
      <c r="A1626" s="3">
        <f ca="1">IFERROR(__xludf.DUMMYFUNCTION("""COMPUTED_VALUE"""),42797.6666666666)</f>
        <v>42797.666666666599</v>
      </c>
      <c r="B1626" s="4">
        <f ca="1">IFERROR(__xludf.DUMMYFUNCTION("""COMPUTED_VALUE"""),829.08)</f>
        <v>829.08</v>
      </c>
      <c r="C1626" s="5">
        <f t="shared" ca="1" si="0"/>
        <v>-1.8677967242700594E-3</v>
      </c>
    </row>
    <row r="1627" spans="1:3" ht="13" x14ac:dyDescent="0.15">
      <c r="A1627" s="3">
        <f ca="1">IFERROR(__xludf.DUMMYFUNCTION("""COMPUTED_VALUE"""),42800.6666666666)</f>
        <v>42800.666666666599</v>
      </c>
      <c r="B1627" s="4">
        <f ca="1">IFERROR(__xludf.DUMMYFUNCTION("""COMPUTED_VALUE"""),827.78)</f>
        <v>827.78</v>
      </c>
      <c r="C1627" s="5">
        <f t="shared" ca="1" si="0"/>
        <v>-1.5692336911631943E-3</v>
      </c>
    </row>
    <row r="1628" spans="1:3" ht="13" x14ac:dyDescent="0.15">
      <c r="A1628" s="3">
        <f ca="1">IFERROR(__xludf.DUMMYFUNCTION("""COMPUTED_VALUE"""),42801.6666666666)</f>
        <v>42801.666666666599</v>
      </c>
      <c r="B1628" s="4">
        <f ca="1">IFERROR(__xludf.DUMMYFUNCTION("""COMPUTED_VALUE"""),831.91)</f>
        <v>831.91</v>
      </c>
      <c r="C1628" s="5">
        <f t="shared" ca="1" si="0"/>
        <v>4.9768432956155814E-3</v>
      </c>
    </row>
    <row r="1629" spans="1:3" ht="13" x14ac:dyDescent="0.15">
      <c r="A1629" s="3">
        <f ca="1">IFERROR(__xludf.DUMMYFUNCTION("""COMPUTED_VALUE"""),42802.6666666666)</f>
        <v>42802.666666666599</v>
      </c>
      <c r="B1629" s="4">
        <f ca="1">IFERROR(__xludf.DUMMYFUNCTION("""COMPUTED_VALUE"""),835.37)</f>
        <v>835.37</v>
      </c>
      <c r="C1629" s="5">
        <f t="shared" ca="1" si="0"/>
        <v>4.1504785842388231E-3</v>
      </c>
    </row>
    <row r="1630" spans="1:3" ht="13" x14ac:dyDescent="0.15">
      <c r="A1630" s="3">
        <f ca="1">IFERROR(__xludf.DUMMYFUNCTION("""COMPUTED_VALUE"""),42803.6666666666)</f>
        <v>42803.666666666599</v>
      </c>
      <c r="B1630" s="4">
        <f ca="1">IFERROR(__xludf.DUMMYFUNCTION("""COMPUTED_VALUE"""),838.68)</f>
        <v>838.68</v>
      </c>
      <c r="C1630" s="5">
        <f t="shared" ca="1" si="0"/>
        <v>3.9544867996428477E-3</v>
      </c>
    </row>
    <row r="1631" spans="1:3" ht="13" x14ac:dyDescent="0.15">
      <c r="A1631" s="3">
        <f ca="1">IFERROR(__xludf.DUMMYFUNCTION("""COMPUTED_VALUE"""),42804.6666666666)</f>
        <v>42804.666666666599</v>
      </c>
      <c r="B1631" s="4">
        <f ca="1">IFERROR(__xludf.DUMMYFUNCTION("""COMPUTED_VALUE"""),843.25)</f>
        <v>843.25</v>
      </c>
      <c r="C1631" s="5">
        <f t="shared" ca="1" si="0"/>
        <v>5.4342466647217249E-3</v>
      </c>
    </row>
    <row r="1632" spans="1:3" ht="13" x14ac:dyDescent="0.15">
      <c r="A1632" s="3">
        <f ca="1">IFERROR(__xludf.DUMMYFUNCTION("""COMPUTED_VALUE"""),42807.6666666666)</f>
        <v>42807.666666666599</v>
      </c>
      <c r="B1632" s="4">
        <f ca="1">IFERROR(__xludf.DUMMYFUNCTION("""COMPUTED_VALUE"""),845.54)</f>
        <v>845.54</v>
      </c>
      <c r="C1632" s="5">
        <f t="shared" ca="1" si="0"/>
        <v>2.7120025622734086E-3</v>
      </c>
    </row>
    <row r="1633" spans="1:3" ht="13" x14ac:dyDescent="0.15">
      <c r="A1633" s="3">
        <f ca="1">IFERROR(__xludf.DUMMYFUNCTION("""COMPUTED_VALUE"""),42808.6666666666)</f>
        <v>42808.666666666599</v>
      </c>
      <c r="B1633" s="4">
        <f ca="1">IFERROR(__xludf.DUMMYFUNCTION("""COMPUTED_VALUE"""),845.62)</f>
        <v>845.62</v>
      </c>
      <c r="C1633" s="5">
        <f t="shared" ca="1" si="0"/>
        <v>9.4609617138146279E-5</v>
      </c>
    </row>
    <row r="1634" spans="1:3" ht="13" x14ac:dyDescent="0.15">
      <c r="A1634" s="3">
        <f ca="1">IFERROR(__xludf.DUMMYFUNCTION("""COMPUTED_VALUE"""),42809.6666666666)</f>
        <v>42809.666666666599</v>
      </c>
      <c r="B1634" s="4">
        <f ca="1">IFERROR(__xludf.DUMMYFUNCTION("""COMPUTED_VALUE"""),847.2)</f>
        <v>847.2</v>
      </c>
      <c r="C1634" s="5">
        <f t="shared" ca="1" si="0"/>
        <v>1.8667081660254034E-3</v>
      </c>
    </row>
    <row r="1635" spans="1:3" ht="13" x14ac:dyDescent="0.15">
      <c r="A1635" s="3">
        <f ca="1">IFERROR(__xludf.DUMMYFUNCTION("""COMPUTED_VALUE"""),42810.6666666666)</f>
        <v>42810.666666666599</v>
      </c>
      <c r="B1635" s="4">
        <f ca="1">IFERROR(__xludf.DUMMYFUNCTION("""COMPUTED_VALUE"""),848.78)</f>
        <v>848.78</v>
      </c>
      <c r="C1635" s="5">
        <f t="shared" ca="1" si="0"/>
        <v>1.8632300582522277E-3</v>
      </c>
    </row>
    <row r="1636" spans="1:3" ht="13" x14ac:dyDescent="0.15">
      <c r="A1636" s="3">
        <f ca="1">IFERROR(__xludf.DUMMYFUNCTION("""COMPUTED_VALUE"""),42811.6666666666)</f>
        <v>42811.666666666599</v>
      </c>
      <c r="B1636" s="4">
        <f ca="1">IFERROR(__xludf.DUMMYFUNCTION("""COMPUTED_VALUE"""),852.12)</f>
        <v>852.12</v>
      </c>
      <c r="C1636" s="5">
        <f t="shared" ca="1" si="0"/>
        <v>3.9273376365534978E-3</v>
      </c>
    </row>
    <row r="1637" spans="1:3" ht="13" x14ac:dyDescent="0.15">
      <c r="A1637" s="3">
        <f ca="1">IFERROR(__xludf.DUMMYFUNCTION("""COMPUTED_VALUE"""),42814.6666666666)</f>
        <v>42814.666666666599</v>
      </c>
      <c r="B1637" s="4">
        <f ca="1">IFERROR(__xludf.DUMMYFUNCTION("""COMPUTED_VALUE"""),848.4)</f>
        <v>848.4</v>
      </c>
      <c r="C1637" s="5">
        <f t="shared" ca="1" si="0"/>
        <v>-4.3751392914752147E-3</v>
      </c>
    </row>
    <row r="1638" spans="1:3" ht="13" x14ac:dyDescent="0.15">
      <c r="A1638" s="3">
        <f ca="1">IFERROR(__xludf.DUMMYFUNCTION("""COMPUTED_VALUE"""),42815.6666666666)</f>
        <v>42815.666666666599</v>
      </c>
      <c r="B1638" s="4">
        <f ca="1">IFERROR(__xludf.DUMMYFUNCTION("""COMPUTED_VALUE"""),830.46)</f>
        <v>830.46</v>
      </c>
      <c r="C1638" s="5">
        <f t="shared" ca="1" si="0"/>
        <v>-2.1372458553861714E-2</v>
      </c>
    </row>
    <row r="1639" spans="1:3" ht="13" x14ac:dyDescent="0.15">
      <c r="A1639" s="3">
        <f ca="1">IFERROR(__xludf.DUMMYFUNCTION("""COMPUTED_VALUE"""),42816.6666666666)</f>
        <v>42816.666666666599</v>
      </c>
      <c r="B1639" s="4">
        <f ca="1">IFERROR(__xludf.DUMMYFUNCTION("""COMPUTED_VALUE"""),829.59)</f>
        <v>829.59</v>
      </c>
      <c r="C1639" s="5">
        <f t="shared" ca="1" si="0"/>
        <v>-1.0481612959267104E-3</v>
      </c>
    </row>
    <row r="1640" spans="1:3" ht="13" x14ac:dyDescent="0.15">
      <c r="A1640" s="3">
        <f ca="1">IFERROR(__xludf.DUMMYFUNCTION("""COMPUTED_VALUE"""),42817.6666666666)</f>
        <v>42817.666666666599</v>
      </c>
      <c r="B1640" s="4">
        <f ca="1">IFERROR(__xludf.DUMMYFUNCTION("""COMPUTED_VALUE"""),817.58)</f>
        <v>817.58</v>
      </c>
      <c r="C1640" s="5">
        <f t="shared" ca="1" si="0"/>
        <v>-1.4582845530024863E-2</v>
      </c>
    </row>
    <row r="1641" spans="1:3" ht="13" x14ac:dyDescent="0.15">
      <c r="A1641" s="3">
        <f ca="1">IFERROR(__xludf.DUMMYFUNCTION("""COMPUTED_VALUE"""),42818.6666666666)</f>
        <v>42818.666666666599</v>
      </c>
      <c r="B1641" s="4">
        <f ca="1">IFERROR(__xludf.DUMMYFUNCTION("""COMPUTED_VALUE"""),814.43)</f>
        <v>814.43</v>
      </c>
      <c r="C1641" s="5">
        <f t="shared" ca="1" si="0"/>
        <v>-3.860275257752076E-3</v>
      </c>
    </row>
    <row r="1642" spans="1:3" ht="13" x14ac:dyDescent="0.15">
      <c r="A1642" s="3">
        <f ca="1">IFERROR(__xludf.DUMMYFUNCTION("""COMPUTED_VALUE"""),42821.6666666666)</f>
        <v>42821.666666666599</v>
      </c>
      <c r="B1642" s="4">
        <f ca="1">IFERROR(__xludf.DUMMYFUNCTION("""COMPUTED_VALUE"""),819.51)</f>
        <v>819.51</v>
      </c>
      <c r="C1642" s="5">
        <f t="shared" ca="1" si="0"/>
        <v>6.2181186190097817E-3</v>
      </c>
    </row>
    <row r="1643" spans="1:3" ht="13" x14ac:dyDescent="0.15">
      <c r="A1643" s="3">
        <f ca="1">IFERROR(__xludf.DUMMYFUNCTION("""COMPUTED_VALUE"""),42822.6666666666)</f>
        <v>42822.666666666599</v>
      </c>
      <c r="B1643" s="4">
        <f ca="1">IFERROR(__xludf.DUMMYFUNCTION("""COMPUTED_VALUE"""),820.92)</f>
        <v>820.92</v>
      </c>
      <c r="C1643" s="5">
        <f t="shared" ca="1" si="0"/>
        <v>1.7190618889349526E-3</v>
      </c>
    </row>
    <row r="1644" spans="1:3" ht="13" x14ac:dyDescent="0.15">
      <c r="A1644" s="3">
        <f ca="1">IFERROR(__xludf.DUMMYFUNCTION("""COMPUTED_VALUE"""),42823.6666666666)</f>
        <v>42823.666666666599</v>
      </c>
      <c r="B1644" s="4">
        <f ca="1">IFERROR(__xludf.DUMMYFUNCTION("""COMPUTED_VALUE"""),831.41)</f>
        <v>831.41</v>
      </c>
      <c r="C1644" s="5">
        <f t="shared" ca="1" si="0"/>
        <v>1.2697392090034508E-2</v>
      </c>
    </row>
    <row r="1645" spans="1:3" ht="13" x14ac:dyDescent="0.15">
      <c r="A1645" s="3">
        <f ca="1">IFERROR(__xludf.DUMMYFUNCTION("""COMPUTED_VALUE"""),42824.6666666666)</f>
        <v>42824.666666666599</v>
      </c>
      <c r="B1645" s="4">
        <f ca="1">IFERROR(__xludf.DUMMYFUNCTION("""COMPUTED_VALUE"""),831.5)</f>
        <v>831.5</v>
      </c>
      <c r="C1645" s="5">
        <f t="shared" ca="1" si="0"/>
        <v>1.082439820409718E-4</v>
      </c>
    </row>
    <row r="1646" spans="1:3" ht="13" x14ac:dyDescent="0.15">
      <c r="A1646" s="3">
        <f ca="1">IFERROR(__xludf.DUMMYFUNCTION("""COMPUTED_VALUE"""),42825.6666666666)</f>
        <v>42825.666666666599</v>
      </c>
      <c r="B1646" s="4">
        <f ca="1">IFERROR(__xludf.DUMMYFUNCTION("""COMPUTED_VALUE"""),829.56)</f>
        <v>829.56</v>
      </c>
      <c r="C1646" s="5">
        <f t="shared" ca="1" si="0"/>
        <v>-2.3358588878084749E-3</v>
      </c>
    </row>
    <row r="1647" spans="1:3" ht="13" x14ac:dyDescent="0.15">
      <c r="A1647" s="3">
        <f ca="1">IFERROR(__xludf.DUMMYFUNCTION("""COMPUTED_VALUE"""),42828.6666666666)</f>
        <v>42828.666666666599</v>
      </c>
      <c r="B1647" s="4">
        <f ca="1">IFERROR(__xludf.DUMMYFUNCTION("""COMPUTED_VALUE"""),838.55)</f>
        <v>838.55</v>
      </c>
      <c r="C1647" s="5">
        <f t="shared" ca="1" si="0"/>
        <v>1.077877003246273E-2</v>
      </c>
    </row>
    <row r="1648" spans="1:3" ht="13" x14ac:dyDescent="0.15">
      <c r="A1648" s="3">
        <f ca="1">IFERROR(__xludf.DUMMYFUNCTION("""COMPUTED_VALUE"""),42829.6666666666)</f>
        <v>42829.666666666599</v>
      </c>
      <c r="B1648" s="4">
        <f ca="1">IFERROR(__xludf.DUMMYFUNCTION("""COMPUTED_VALUE"""),834.57)</f>
        <v>834.57</v>
      </c>
      <c r="C1648" s="5">
        <f t="shared" ca="1" si="0"/>
        <v>-4.7575876292826084E-3</v>
      </c>
    </row>
    <row r="1649" spans="1:3" ht="13" x14ac:dyDescent="0.15">
      <c r="A1649" s="3">
        <f ca="1">IFERROR(__xludf.DUMMYFUNCTION("""COMPUTED_VALUE"""),42830.6666666666)</f>
        <v>42830.666666666599</v>
      </c>
      <c r="B1649" s="4">
        <f ca="1">IFERROR(__xludf.DUMMYFUNCTION("""COMPUTED_VALUE"""),831.41)</f>
        <v>831.41</v>
      </c>
      <c r="C1649" s="5">
        <f t="shared" ca="1" si="0"/>
        <v>-3.7935674974126968E-3</v>
      </c>
    </row>
    <row r="1650" spans="1:3" ht="13" x14ac:dyDescent="0.15">
      <c r="A1650" s="3">
        <f ca="1">IFERROR(__xludf.DUMMYFUNCTION("""COMPUTED_VALUE"""),42831.6666666666)</f>
        <v>42831.666666666599</v>
      </c>
      <c r="B1650" s="4">
        <f ca="1">IFERROR(__xludf.DUMMYFUNCTION("""COMPUTED_VALUE"""),827.88)</f>
        <v>827.88</v>
      </c>
      <c r="C1650" s="5">
        <f t="shared" ca="1" si="0"/>
        <v>-4.2548383049236995E-3</v>
      </c>
    </row>
    <row r="1651" spans="1:3" ht="13" x14ac:dyDescent="0.15">
      <c r="A1651" s="3">
        <f ca="1">IFERROR(__xludf.DUMMYFUNCTION("""COMPUTED_VALUE"""),42832.6666666666)</f>
        <v>42832.666666666599</v>
      </c>
      <c r="B1651" s="4">
        <f ca="1">IFERROR(__xludf.DUMMYFUNCTION("""COMPUTED_VALUE"""),824.67)</f>
        <v>824.67</v>
      </c>
      <c r="C1651" s="5">
        <f t="shared" ca="1" si="0"/>
        <v>-3.8849100326764181E-3</v>
      </c>
    </row>
    <row r="1652" spans="1:3" ht="13" x14ac:dyDescent="0.15">
      <c r="A1652" s="3">
        <f ca="1">IFERROR(__xludf.DUMMYFUNCTION("""COMPUTED_VALUE"""),42835.6666666666)</f>
        <v>42835.666666666599</v>
      </c>
      <c r="B1652" s="4">
        <f ca="1">IFERROR(__xludf.DUMMYFUNCTION("""COMPUTED_VALUE"""),824.73)</f>
        <v>824.73</v>
      </c>
      <c r="C1652" s="5">
        <f t="shared" ca="1" si="0"/>
        <v>7.2753728660671514E-5</v>
      </c>
    </row>
    <row r="1653" spans="1:3" ht="13" x14ac:dyDescent="0.15">
      <c r="A1653" s="3">
        <f ca="1">IFERROR(__xludf.DUMMYFUNCTION("""COMPUTED_VALUE"""),42836.6666666666)</f>
        <v>42836.666666666599</v>
      </c>
      <c r="B1653" s="4">
        <f ca="1">IFERROR(__xludf.DUMMYFUNCTION("""COMPUTED_VALUE"""),823.35)</f>
        <v>823.35</v>
      </c>
      <c r="C1653" s="5">
        <f t="shared" ca="1" si="0"/>
        <v>-1.6746763779939753E-3</v>
      </c>
    </row>
    <row r="1654" spans="1:3" ht="13" x14ac:dyDescent="0.15">
      <c r="A1654" s="3">
        <f ca="1">IFERROR(__xludf.DUMMYFUNCTION("""COMPUTED_VALUE"""),42837.6666666666)</f>
        <v>42837.666666666599</v>
      </c>
      <c r="B1654" s="4">
        <f ca="1">IFERROR(__xludf.DUMMYFUNCTION("""COMPUTED_VALUE"""),824.32)</f>
        <v>824.32</v>
      </c>
      <c r="C1654" s="5">
        <f t="shared" ca="1" si="0"/>
        <v>1.177420371871612E-3</v>
      </c>
    </row>
    <row r="1655" spans="1:3" ht="13" x14ac:dyDescent="0.15">
      <c r="A1655" s="3">
        <f ca="1">IFERROR(__xludf.DUMMYFUNCTION("""COMPUTED_VALUE"""),42838.6666666666)</f>
        <v>42838.666666666599</v>
      </c>
      <c r="B1655" s="4">
        <f ca="1">IFERROR(__xludf.DUMMYFUNCTION("""COMPUTED_VALUE"""),823.56)</f>
        <v>823.56</v>
      </c>
      <c r="C1655" s="5">
        <f t="shared" ca="1" si="0"/>
        <v>-9.2239732733594539E-4</v>
      </c>
    </row>
    <row r="1656" spans="1:3" ht="13" x14ac:dyDescent="0.15">
      <c r="A1656" s="3">
        <f ca="1">IFERROR(__xludf.DUMMYFUNCTION("""COMPUTED_VALUE"""),42842.6666666666)</f>
        <v>42842.666666666599</v>
      </c>
      <c r="B1656" s="4">
        <f ca="1">IFERROR(__xludf.DUMMYFUNCTION("""COMPUTED_VALUE"""),837.17)</f>
        <v>837.17</v>
      </c>
      <c r="C1656" s="5">
        <f t="shared" ca="1" si="0"/>
        <v>1.6390749489771619E-2</v>
      </c>
    </row>
    <row r="1657" spans="1:3" ht="13" x14ac:dyDescent="0.15">
      <c r="A1657" s="3">
        <f ca="1">IFERROR(__xludf.DUMMYFUNCTION("""COMPUTED_VALUE"""),42843.6666666666)</f>
        <v>42843.666666666599</v>
      </c>
      <c r="B1657" s="4">
        <f ca="1">IFERROR(__xludf.DUMMYFUNCTION("""COMPUTED_VALUE"""),836.82)</f>
        <v>836.82</v>
      </c>
      <c r="C1657" s="5">
        <f t="shared" ca="1" si="0"/>
        <v>-4.1816259965704339E-4</v>
      </c>
    </row>
    <row r="1658" spans="1:3" ht="13" x14ac:dyDescent="0.15">
      <c r="A1658" s="3">
        <f ca="1">IFERROR(__xludf.DUMMYFUNCTION("""COMPUTED_VALUE"""),42844.6666666666)</f>
        <v>42844.666666666599</v>
      </c>
      <c r="B1658" s="4">
        <f ca="1">IFERROR(__xludf.DUMMYFUNCTION("""COMPUTED_VALUE"""),838.21)</f>
        <v>838.21</v>
      </c>
      <c r="C1658" s="5">
        <f t="shared" ca="1" si="0"/>
        <v>1.6596721480381881E-3</v>
      </c>
    </row>
    <row r="1659" spans="1:3" ht="13" x14ac:dyDescent="0.15">
      <c r="A1659" s="3">
        <f ca="1">IFERROR(__xludf.DUMMYFUNCTION("""COMPUTED_VALUE"""),42845.6666666666)</f>
        <v>42845.666666666599</v>
      </c>
      <c r="B1659" s="4">
        <f ca="1">IFERROR(__xludf.DUMMYFUNCTION("""COMPUTED_VALUE"""),841.65)</f>
        <v>841.65</v>
      </c>
      <c r="C1659" s="5">
        <f t="shared" ca="1" si="0"/>
        <v>4.0955851183943227E-3</v>
      </c>
    </row>
    <row r="1660" spans="1:3" ht="13" x14ac:dyDescent="0.15">
      <c r="A1660" s="3">
        <f ca="1">IFERROR(__xludf.DUMMYFUNCTION("""COMPUTED_VALUE"""),42846.6666666666)</f>
        <v>42846.666666666599</v>
      </c>
      <c r="B1660" s="4">
        <f ca="1">IFERROR(__xludf.DUMMYFUNCTION("""COMPUTED_VALUE"""),843.19)</f>
        <v>843.19</v>
      </c>
      <c r="C1660" s="5">
        <f t="shared" ca="1" si="0"/>
        <v>1.8280672691392407E-3</v>
      </c>
    </row>
    <row r="1661" spans="1:3" ht="13" x14ac:dyDescent="0.15">
      <c r="A1661" s="3">
        <f ca="1">IFERROR(__xludf.DUMMYFUNCTION("""COMPUTED_VALUE"""),42849.6666666666)</f>
        <v>42849.666666666599</v>
      </c>
      <c r="B1661" s="4">
        <f ca="1">IFERROR(__xludf.DUMMYFUNCTION("""COMPUTED_VALUE"""),862.76)</f>
        <v>862.76</v>
      </c>
      <c r="C1661" s="5">
        <f t="shared" ca="1" si="0"/>
        <v>2.2944234619943438E-2</v>
      </c>
    </row>
    <row r="1662" spans="1:3" ht="13" x14ac:dyDescent="0.15">
      <c r="A1662" s="3">
        <f ca="1">IFERROR(__xludf.DUMMYFUNCTION("""COMPUTED_VALUE"""),42850.6666666666)</f>
        <v>42850.666666666599</v>
      </c>
      <c r="B1662" s="4">
        <f ca="1">IFERROR(__xludf.DUMMYFUNCTION("""COMPUTED_VALUE"""),872.3)</f>
        <v>872.3</v>
      </c>
      <c r="C1662" s="5">
        <f t="shared" ca="1" si="0"/>
        <v>1.0996848684999394E-2</v>
      </c>
    </row>
    <row r="1663" spans="1:3" ht="13" x14ac:dyDescent="0.15">
      <c r="A1663" s="3">
        <f ca="1">IFERROR(__xludf.DUMMYFUNCTION("""COMPUTED_VALUE"""),42851.6666666666)</f>
        <v>42851.666666666599</v>
      </c>
      <c r="B1663" s="4">
        <f ca="1">IFERROR(__xludf.DUMMYFUNCTION("""COMPUTED_VALUE"""),871.73)</f>
        <v>871.73</v>
      </c>
      <c r="C1663" s="5">
        <f t="shared" ca="1" si="0"/>
        <v>-6.5365850391935958E-4</v>
      </c>
    </row>
    <row r="1664" spans="1:3" ht="13" x14ac:dyDescent="0.15">
      <c r="A1664" s="3">
        <f ca="1">IFERROR(__xludf.DUMMYFUNCTION("""COMPUTED_VALUE"""),42852.6666666666)</f>
        <v>42852.666666666599</v>
      </c>
      <c r="B1664" s="4">
        <f ca="1">IFERROR(__xludf.DUMMYFUNCTION("""COMPUTED_VALUE"""),874.25)</f>
        <v>874.25</v>
      </c>
      <c r="C1664" s="5">
        <f t="shared" ca="1" si="0"/>
        <v>2.8866330082318857E-3</v>
      </c>
    </row>
    <row r="1665" spans="1:3" ht="13" x14ac:dyDescent="0.15">
      <c r="A1665" s="3">
        <f ca="1">IFERROR(__xludf.DUMMYFUNCTION("""COMPUTED_VALUE"""),42853.6666666666)</f>
        <v>42853.666666666599</v>
      </c>
      <c r="B1665" s="4">
        <f ca="1">IFERROR(__xludf.DUMMYFUNCTION("""COMPUTED_VALUE"""),905.96)</f>
        <v>905.96</v>
      </c>
      <c r="C1665" s="5">
        <f t="shared" ca="1" si="0"/>
        <v>3.5628779014474005E-2</v>
      </c>
    </row>
    <row r="1666" spans="1:3" ht="13" x14ac:dyDescent="0.15">
      <c r="A1666" s="3">
        <f ca="1">IFERROR(__xludf.DUMMYFUNCTION("""COMPUTED_VALUE"""),42856.6666666666)</f>
        <v>42856.666666666599</v>
      </c>
      <c r="B1666" s="4">
        <f ca="1">IFERROR(__xludf.DUMMYFUNCTION("""COMPUTED_VALUE"""),912.57)</f>
        <v>912.57</v>
      </c>
      <c r="C1666" s="5">
        <f t="shared" ca="1" si="0"/>
        <v>7.2696398852141967E-3</v>
      </c>
    </row>
    <row r="1667" spans="1:3" ht="13" x14ac:dyDescent="0.15">
      <c r="A1667" s="3">
        <f ca="1">IFERROR(__xludf.DUMMYFUNCTION("""COMPUTED_VALUE"""),42857.6666666666)</f>
        <v>42857.666666666599</v>
      </c>
      <c r="B1667" s="4">
        <f ca="1">IFERROR(__xludf.DUMMYFUNCTION("""COMPUTED_VALUE"""),916.44)</f>
        <v>916.44</v>
      </c>
      <c r="C1667" s="5">
        <f t="shared" ca="1" si="0"/>
        <v>4.2318038451196948E-3</v>
      </c>
    </row>
    <row r="1668" spans="1:3" ht="13" x14ac:dyDescent="0.15">
      <c r="A1668" s="3">
        <f ca="1">IFERROR(__xludf.DUMMYFUNCTION("""COMPUTED_VALUE"""),42858.6666666666)</f>
        <v>42858.666666666599</v>
      </c>
      <c r="B1668" s="4">
        <f ca="1">IFERROR(__xludf.DUMMYFUNCTION("""COMPUTED_VALUE"""),927.04)</f>
        <v>927.04</v>
      </c>
      <c r="C1668" s="5">
        <f t="shared" ca="1" si="0"/>
        <v>1.1500115892692406E-2</v>
      </c>
    </row>
    <row r="1669" spans="1:3" ht="13" x14ac:dyDescent="0.15">
      <c r="A1669" s="3">
        <f ca="1">IFERROR(__xludf.DUMMYFUNCTION("""COMPUTED_VALUE"""),42859.6666666666)</f>
        <v>42859.666666666599</v>
      </c>
      <c r="B1669" s="4">
        <f ca="1">IFERROR(__xludf.DUMMYFUNCTION("""COMPUTED_VALUE"""),931.66)</f>
        <v>931.66</v>
      </c>
      <c r="C1669" s="5">
        <f t="shared" ca="1" si="0"/>
        <v>4.9712266794399431E-3</v>
      </c>
    </row>
    <row r="1670" spans="1:3" ht="13" x14ac:dyDescent="0.15">
      <c r="A1670" s="3">
        <f ca="1">IFERROR(__xludf.DUMMYFUNCTION("""COMPUTED_VALUE"""),42860.6666666666)</f>
        <v>42860.666666666599</v>
      </c>
      <c r="B1670" s="4">
        <f ca="1">IFERROR(__xludf.DUMMYFUNCTION("""COMPUTED_VALUE"""),927.13)</f>
        <v>927.13</v>
      </c>
      <c r="C1670" s="5">
        <f t="shared" ca="1" si="0"/>
        <v>-4.8741482022014084E-3</v>
      </c>
    </row>
    <row r="1671" spans="1:3" ht="13" x14ac:dyDescent="0.15">
      <c r="A1671" s="3">
        <f ca="1">IFERROR(__xludf.DUMMYFUNCTION("""COMPUTED_VALUE"""),42863.6666666666)</f>
        <v>42863.666666666599</v>
      </c>
      <c r="B1671" s="4">
        <f ca="1">IFERROR(__xludf.DUMMYFUNCTION("""COMPUTED_VALUE"""),934.3)</f>
        <v>934.3</v>
      </c>
      <c r="C1671" s="5">
        <f t="shared" ca="1" si="0"/>
        <v>7.7037927406858418E-3</v>
      </c>
    </row>
    <row r="1672" spans="1:3" ht="13" x14ac:dyDescent="0.15">
      <c r="A1672" s="3">
        <f ca="1">IFERROR(__xludf.DUMMYFUNCTION("""COMPUTED_VALUE"""),42864.6666666666)</f>
        <v>42864.666666666599</v>
      </c>
      <c r="B1672" s="4">
        <f ca="1">IFERROR(__xludf.DUMMYFUNCTION("""COMPUTED_VALUE"""),932.17)</f>
        <v>932.17</v>
      </c>
      <c r="C1672" s="5">
        <f t="shared" ca="1" si="0"/>
        <v>-2.2823843133260059E-3</v>
      </c>
    </row>
    <row r="1673" spans="1:3" ht="13" x14ac:dyDescent="0.15">
      <c r="A1673" s="3">
        <f ca="1">IFERROR(__xludf.DUMMYFUNCTION("""COMPUTED_VALUE"""),42865.6666666666)</f>
        <v>42865.666666666599</v>
      </c>
      <c r="B1673" s="4">
        <f ca="1">IFERROR(__xludf.DUMMYFUNCTION("""COMPUTED_VALUE"""),928.78)</f>
        <v>928.78</v>
      </c>
      <c r="C1673" s="5">
        <f t="shared" ca="1" si="0"/>
        <v>-3.6433044948120433E-3</v>
      </c>
    </row>
    <row r="1674" spans="1:3" ht="13" x14ac:dyDescent="0.15">
      <c r="A1674" s="3">
        <f ca="1">IFERROR(__xludf.DUMMYFUNCTION("""COMPUTED_VALUE"""),42866.6666666666)</f>
        <v>42866.666666666599</v>
      </c>
      <c r="B1674" s="4">
        <f ca="1">IFERROR(__xludf.DUMMYFUNCTION("""COMPUTED_VALUE"""),930.6)</f>
        <v>930.6</v>
      </c>
      <c r="C1674" s="5">
        <f t="shared" ca="1" si="0"/>
        <v>1.9576424197762896E-3</v>
      </c>
    </row>
    <row r="1675" spans="1:3" ht="13" x14ac:dyDescent="0.15">
      <c r="A1675" s="3">
        <f ca="1">IFERROR(__xludf.DUMMYFUNCTION("""COMPUTED_VALUE"""),42867.6666666666)</f>
        <v>42867.666666666599</v>
      </c>
      <c r="B1675" s="4">
        <f ca="1">IFERROR(__xludf.DUMMYFUNCTION("""COMPUTED_VALUE"""),932.22)</f>
        <v>932.22</v>
      </c>
      <c r="C1675" s="5">
        <f t="shared" ca="1" si="0"/>
        <v>1.7392989214166745E-3</v>
      </c>
    </row>
    <row r="1676" spans="1:3" ht="13" x14ac:dyDescent="0.15">
      <c r="A1676" s="3">
        <f ca="1">IFERROR(__xludf.DUMMYFUNCTION("""COMPUTED_VALUE"""),42870.6666666666)</f>
        <v>42870.666666666599</v>
      </c>
      <c r="B1676" s="4">
        <f ca="1">IFERROR(__xludf.DUMMYFUNCTION("""COMPUTED_VALUE"""),937.08)</f>
        <v>937.08</v>
      </c>
      <c r="C1676" s="5">
        <f t="shared" ca="1" si="0"/>
        <v>5.1998191306191991E-3</v>
      </c>
    </row>
    <row r="1677" spans="1:3" ht="13" x14ac:dyDescent="0.15">
      <c r="A1677" s="3">
        <f ca="1">IFERROR(__xludf.DUMMYFUNCTION("""COMPUTED_VALUE"""),42871.6666666666)</f>
        <v>42871.666666666599</v>
      </c>
      <c r="B1677" s="4">
        <f ca="1">IFERROR(__xludf.DUMMYFUNCTION("""COMPUTED_VALUE"""),943)</f>
        <v>943</v>
      </c>
      <c r="C1677" s="5">
        <f t="shared" ca="1" si="0"/>
        <v>6.2976251708734164E-3</v>
      </c>
    </row>
    <row r="1678" spans="1:3" ht="13" x14ac:dyDescent="0.15">
      <c r="A1678" s="3">
        <f ca="1">IFERROR(__xludf.DUMMYFUNCTION("""COMPUTED_VALUE"""),42872.6666666666)</f>
        <v>42872.666666666599</v>
      </c>
      <c r="B1678" s="4">
        <f ca="1">IFERROR(__xludf.DUMMYFUNCTION("""COMPUTED_VALUE"""),919.62)</f>
        <v>919.62</v>
      </c>
      <c r="C1678" s="5">
        <f t="shared" ca="1" si="0"/>
        <v>-2.5105741394586163E-2</v>
      </c>
    </row>
    <row r="1679" spans="1:3" ht="13" x14ac:dyDescent="0.15">
      <c r="A1679" s="3">
        <f ca="1">IFERROR(__xludf.DUMMYFUNCTION("""COMPUTED_VALUE"""),42873.6666666666)</f>
        <v>42873.666666666599</v>
      </c>
      <c r="B1679" s="4">
        <f ca="1">IFERROR(__xludf.DUMMYFUNCTION("""COMPUTED_VALUE"""),930.24)</f>
        <v>930.24</v>
      </c>
      <c r="C1679" s="5">
        <f t="shared" ca="1" si="0"/>
        <v>1.1482076131639778E-2</v>
      </c>
    </row>
    <row r="1680" spans="1:3" ht="13" x14ac:dyDescent="0.15">
      <c r="A1680" s="3">
        <f ca="1">IFERROR(__xludf.DUMMYFUNCTION("""COMPUTED_VALUE"""),42874.6666666666)</f>
        <v>42874.666666666599</v>
      </c>
      <c r="B1680" s="4">
        <f ca="1">IFERROR(__xludf.DUMMYFUNCTION("""COMPUTED_VALUE"""),934.01)</f>
        <v>934.01</v>
      </c>
      <c r="C1680" s="5">
        <f t="shared" ca="1" si="0"/>
        <v>4.0445274391315593E-3</v>
      </c>
    </row>
    <row r="1681" spans="1:3" ht="13" x14ac:dyDescent="0.15">
      <c r="A1681" s="3">
        <f ca="1">IFERROR(__xludf.DUMMYFUNCTION("""COMPUTED_VALUE"""),42877.6666666666)</f>
        <v>42877.666666666599</v>
      </c>
      <c r="B1681" s="4">
        <f ca="1">IFERROR(__xludf.DUMMYFUNCTION("""COMPUTED_VALUE"""),941.86)</f>
        <v>941.86</v>
      </c>
      <c r="C1681" s="5">
        <f t="shared" ca="1" si="0"/>
        <v>8.3694987641429811E-3</v>
      </c>
    </row>
    <row r="1682" spans="1:3" ht="13" x14ac:dyDescent="0.15">
      <c r="A1682" s="3">
        <f ca="1">IFERROR(__xludf.DUMMYFUNCTION("""COMPUTED_VALUE"""),42878.6666666666)</f>
        <v>42878.666666666599</v>
      </c>
      <c r="B1682" s="4">
        <f ca="1">IFERROR(__xludf.DUMMYFUNCTION("""COMPUTED_VALUE"""),948.82)</f>
        <v>948.82</v>
      </c>
      <c r="C1682" s="5">
        <f t="shared" ca="1" si="0"/>
        <v>7.3624637055210223E-3</v>
      </c>
    </row>
    <row r="1683" spans="1:3" ht="13" x14ac:dyDescent="0.15">
      <c r="A1683" s="3">
        <f ca="1">IFERROR(__xludf.DUMMYFUNCTION("""COMPUTED_VALUE"""),42879.6666666666)</f>
        <v>42879.666666666599</v>
      </c>
      <c r="B1683" s="4">
        <f ca="1">IFERROR(__xludf.DUMMYFUNCTION("""COMPUTED_VALUE"""),954.96)</f>
        <v>954.96</v>
      </c>
      <c r="C1683" s="5">
        <f t="shared" ca="1" si="0"/>
        <v>6.4503475074762255E-3</v>
      </c>
    </row>
    <row r="1684" spans="1:3" ht="13" x14ac:dyDescent="0.15">
      <c r="A1684" s="3">
        <f ca="1">IFERROR(__xludf.DUMMYFUNCTION("""COMPUTED_VALUE"""),42880.6666666666)</f>
        <v>42880.666666666599</v>
      </c>
      <c r="B1684" s="4">
        <f ca="1">IFERROR(__xludf.DUMMYFUNCTION("""COMPUTED_VALUE"""),969.54)</f>
        <v>969.54</v>
      </c>
      <c r="C1684" s="5">
        <f t="shared" ca="1" si="0"/>
        <v>1.515227742542858E-2</v>
      </c>
    </row>
    <row r="1685" spans="1:3" ht="13" x14ac:dyDescent="0.15">
      <c r="A1685" s="3">
        <f ca="1">IFERROR(__xludf.DUMMYFUNCTION("""COMPUTED_VALUE"""),42881.6666666666)</f>
        <v>42881.666666666599</v>
      </c>
      <c r="B1685" s="4">
        <f ca="1">IFERROR(__xludf.DUMMYFUNCTION("""COMPUTED_VALUE"""),971.47)</f>
        <v>971.47</v>
      </c>
      <c r="C1685" s="5">
        <f t="shared" ca="1" si="0"/>
        <v>1.9886560461368059E-3</v>
      </c>
    </row>
    <row r="1686" spans="1:3" ht="13" x14ac:dyDescent="0.15">
      <c r="A1686" s="3">
        <f ca="1">IFERROR(__xludf.DUMMYFUNCTION("""COMPUTED_VALUE"""),42885.6666666666)</f>
        <v>42885.666666666599</v>
      </c>
      <c r="B1686" s="4">
        <f ca="1">IFERROR(__xludf.DUMMYFUNCTION("""COMPUTED_VALUE"""),975.88)</f>
        <v>975.88</v>
      </c>
      <c r="C1686" s="5">
        <f t="shared" ca="1" si="0"/>
        <v>4.5292397760003412E-3</v>
      </c>
    </row>
    <row r="1687" spans="1:3" ht="13" x14ac:dyDescent="0.15">
      <c r="A1687" s="3">
        <f ca="1">IFERROR(__xludf.DUMMYFUNCTION("""COMPUTED_VALUE"""),42886.6666666666)</f>
        <v>42886.666666666599</v>
      </c>
      <c r="B1687" s="4">
        <f ca="1">IFERROR(__xludf.DUMMYFUNCTION("""COMPUTED_VALUE"""),964.86)</f>
        <v>964.86</v>
      </c>
      <c r="C1687" s="5">
        <f t="shared" ca="1" si="0"/>
        <v>-1.1356614940360455E-2</v>
      </c>
    </row>
    <row r="1688" spans="1:3" ht="13" x14ac:dyDescent="0.15">
      <c r="A1688" s="3">
        <f ca="1">IFERROR(__xludf.DUMMYFUNCTION("""COMPUTED_VALUE"""),42887.6666666666)</f>
        <v>42887.666666666599</v>
      </c>
      <c r="B1688" s="4">
        <f ca="1">IFERROR(__xludf.DUMMYFUNCTION("""COMPUTED_VALUE"""),966.95)</f>
        <v>966.95</v>
      </c>
      <c r="C1688" s="5">
        <f t="shared" ca="1" si="0"/>
        <v>2.1637747143191965E-3</v>
      </c>
    </row>
    <row r="1689" spans="1:3" ht="13" x14ac:dyDescent="0.15">
      <c r="A1689" s="3">
        <f ca="1">IFERROR(__xludf.DUMMYFUNCTION("""COMPUTED_VALUE"""),42888.6666666666)</f>
        <v>42888.666666666599</v>
      </c>
      <c r="B1689" s="4">
        <f ca="1">IFERROR(__xludf.DUMMYFUNCTION("""COMPUTED_VALUE"""),975.6)</f>
        <v>975.6</v>
      </c>
      <c r="C1689" s="5">
        <f t="shared" ca="1" si="0"/>
        <v>8.905878533457626E-3</v>
      </c>
    </row>
    <row r="1690" spans="1:3" ht="13" x14ac:dyDescent="0.15">
      <c r="A1690" s="3">
        <f ca="1">IFERROR(__xludf.DUMMYFUNCTION("""COMPUTED_VALUE"""),42891.6666666666)</f>
        <v>42891.666666666599</v>
      </c>
      <c r="B1690" s="4">
        <f ca="1">IFERROR(__xludf.DUMMYFUNCTION("""COMPUTED_VALUE"""),983.68)</f>
        <v>983.68</v>
      </c>
      <c r="C1690" s="5">
        <f t="shared" ca="1" si="0"/>
        <v>8.2479745684110213E-3</v>
      </c>
    </row>
    <row r="1691" spans="1:3" ht="13" x14ac:dyDescent="0.15">
      <c r="A1691" s="3">
        <f ca="1">IFERROR(__xludf.DUMMYFUNCTION("""COMPUTED_VALUE"""),42892.6666666666)</f>
        <v>42892.666666666599</v>
      </c>
      <c r="B1691" s="4">
        <f ca="1">IFERROR(__xludf.DUMMYFUNCTION("""COMPUTED_VALUE"""),976.57)</f>
        <v>976.57</v>
      </c>
      <c r="C1691" s="5">
        <f t="shared" ca="1" si="0"/>
        <v>-7.2542085748462616E-3</v>
      </c>
    </row>
    <row r="1692" spans="1:3" ht="13" x14ac:dyDescent="0.15">
      <c r="A1692" s="3">
        <f ca="1">IFERROR(__xludf.DUMMYFUNCTION("""COMPUTED_VALUE"""),42893.6666666666)</f>
        <v>42893.666666666599</v>
      </c>
      <c r="B1692" s="4">
        <f ca="1">IFERROR(__xludf.DUMMYFUNCTION("""COMPUTED_VALUE"""),981.08)</f>
        <v>981.08</v>
      </c>
      <c r="C1692" s="5">
        <f t="shared" ca="1" si="0"/>
        <v>4.6075733444059666E-3</v>
      </c>
    </row>
    <row r="1693" spans="1:3" ht="13" x14ac:dyDescent="0.15">
      <c r="A1693" s="3">
        <f ca="1">IFERROR(__xludf.DUMMYFUNCTION("""COMPUTED_VALUE"""),42894.6666666666)</f>
        <v>42894.666666666599</v>
      </c>
      <c r="B1693" s="4">
        <f ca="1">IFERROR(__xludf.DUMMYFUNCTION("""COMPUTED_VALUE"""),983.41)</f>
        <v>983.41</v>
      </c>
      <c r="C1693" s="5">
        <f t="shared" ca="1" si="0"/>
        <v>2.3721180485161471E-3</v>
      </c>
    </row>
    <row r="1694" spans="1:3" ht="13" x14ac:dyDescent="0.15">
      <c r="A1694" s="3">
        <f ca="1">IFERROR(__xludf.DUMMYFUNCTION("""COMPUTED_VALUE"""),42895.6666666666)</f>
        <v>42895.666666666599</v>
      </c>
      <c r="B1694" s="4">
        <f ca="1">IFERROR(__xludf.DUMMYFUNCTION("""COMPUTED_VALUE"""),949.83)</f>
        <v>949.83</v>
      </c>
      <c r="C1694" s="5">
        <f t="shared" ca="1" si="0"/>
        <v>-3.4743102515077312E-2</v>
      </c>
    </row>
    <row r="1695" spans="1:3" ht="13" x14ac:dyDescent="0.15">
      <c r="A1695" s="3">
        <f ca="1">IFERROR(__xludf.DUMMYFUNCTION("""COMPUTED_VALUE"""),42898.6666666666)</f>
        <v>42898.666666666599</v>
      </c>
      <c r="B1695" s="4">
        <f ca="1">IFERROR(__xludf.DUMMYFUNCTION("""COMPUTED_VALUE"""),942.9)</f>
        <v>942.9</v>
      </c>
      <c r="C1695" s="5">
        <f t="shared" ca="1" si="0"/>
        <v>-7.3227887415432645E-3</v>
      </c>
    </row>
    <row r="1696" spans="1:3" ht="13" x14ac:dyDescent="0.15">
      <c r="A1696" s="3">
        <f ca="1">IFERROR(__xludf.DUMMYFUNCTION("""COMPUTED_VALUE"""),42899.6666666666)</f>
        <v>42899.666666666599</v>
      </c>
      <c r="B1696" s="4">
        <f ca="1">IFERROR(__xludf.DUMMYFUNCTION("""COMPUTED_VALUE"""),953.4)</f>
        <v>953.4</v>
      </c>
      <c r="C1696" s="5">
        <f t="shared" ca="1" si="0"/>
        <v>1.1074310299093715E-2</v>
      </c>
    </row>
    <row r="1697" spans="1:3" ht="13" x14ac:dyDescent="0.15">
      <c r="A1697" s="3">
        <f ca="1">IFERROR(__xludf.DUMMYFUNCTION("""COMPUTED_VALUE"""),42900.6666666666)</f>
        <v>42900.666666666599</v>
      </c>
      <c r="B1697" s="4">
        <f ca="1">IFERROR(__xludf.DUMMYFUNCTION("""COMPUTED_VALUE"""),950.76)</f>
        <v>950.76</v>
      </c>
      <c r="C1697" s="5">
        <f t="shared" ca="1" si="0"/>
        <v>-2.772878005574382E-3</v>
      </c>
    </row>
    <row r="1698" spans="1:3" ht="13" x14ac:dyDescent="0.15">
      <c r="A1698" s="3">
        <f ca="1">IFERROR(__xludf.DUMMYFUNCTION("""COMPUTED_VALUE"""),42901.6666666666)</f>
        <v>42901.666666666599</v>
      </c>
      <c r="B1698" s="4">
        <f ca="1">IFERROR(__xludf.DUMMYFUNCTION("""COMPUTED_VALUE"""),942.31)</f>
        <v>942.31</v>
      </c>
      <c r="C1698" s="5">
        <f t="shared" ca="1" si="0"/>
        <v>-8.92735727722151E-3</v>
      </c>
    </row>
    <row r="1699" spans="1:3" ht="13" x14ac:dyDescent="0.15">
      <c r="A1699" s="3">
        <f ca="1">IFERROR(__xludf.DUMMYFUNCTION("""COMPUTED_VALUE"""),42902.6666666666)</f>
        <v>42902.666666666599</v>
      </c>
      <c r="B1699" s="4">
        <f ca="1">IFERROR(__xludf.DUMMYFUNCTION("""COMPUTED_VALUE"""),939.78)</f>
        <v>939.78</v>
      </c>
      <c r="C1699" s="5">
        <f t="shared" ca="1" si="0"/>
        <v>-2.6885021693036988E-3</v>
      </c>
    </row>
    <row r="1700" spans="1:3" ht="13" x14ac:dyDescent="0.15">
      <c r="A1700" s="3">
        <f ca="1">IFERROR(__xludf.DUMMYFUNCTION("""COMPUTED_VALUE"""),42905.6666666666)</f>
        <v>42905.666666666599</v>
      </c>
      <c r="B1700" s="4">
        <f ca="1">IFERROR(__xludf.DUMMYFUNCTION("""COMPUTED_VALUE"""),957.37)</f>
        <v>957.37</v>
      </c>
      <c r="C1700" s="5">
        <f t="shared" ca="1" si="0"/>
        <v>1.8544136283575811E-2</v>
      </c>
    </row>
    <row r="1701" spans="1:3" ht="13" x14ac:dyDescent="0.15">
      <c r="A1701" s="3">
        <f ca="1">IFERROR(__xludf.DUMMYFUNCTION("""COMPUTED_VALUE"""),42906.6666666666)</f>
        <v>42906.666666666599</v>
      </c>
      <c r="B1701" s="4">
        <f ca="1">IFERROR(__xludf.DUMMYFUNCTION("""COMPUTED_VALUE"""),950.63)</f>
        <v>950.63</v>
      </c>
      <c r="C1701" s="5">
        <f t="shared" ca="1" si="0"/>
        <v>-7.065018904908963E-3</v>
      </c>
    </row>
    <row r="1702" spans="1:3" ht="13" x14ac:dyDescent="0.15">
      <c r="A1702" s="3">
        <f ca="1">IFERROR(__xludf.DUMMYFUNCTION("""COMPUTED_VALUE"""),42907.6666666666)</f>
        <v>42907.666666666599</v>
      </c>
      <c r="B1702" s="4">
        <f ca="1">IFERROR(__xludf.DUMMYFUNCTION("""COMPUTED_VALUE"""),959.45)</f>
        <v>959.45</v>
      </c>
      <c r="C1702" s="5">
        <f t="shared" ca="1" si="0"/>
        <v>9.2352809184589324E-3</v>
      </c>
    </row>
    <row r="1703" spans="1:3" ht="13" x14ac:dyDescent="0.15">
      <c r="A1703" s="3">
        <f ca="1">IFERROR(__xludf.DUMMYFUNCTION("""COMPUTED_VALUE"""),42908.6666666666)</f>
        <v>42908.666666666599</v>
      </c>
      <c r="B1703" s="4">
        <f ca="1">IFERROR(__xludf.DUMMYFUNCTION("""COMPUTED_VALUE"""),957.09)</f>
        <v>957.09</v>
      </c>
      <c r="C1703" s="5">
        <f t="shared" ca="1" si="0"/>
        <v>-2.4627726974988701E-3</v>
      </c>
    </row>
    <row r="1704" spans="1:3" ht="13" x14ac:dyDescent="0.15">
      <c r="A1704" s="3">
        <f ca="1">IFERROR(__xludf.DUMMYFUNCTION("""COMPUTED_VALUE"""),42909.6666666666)</f>
        <v>42909.666666666599</v>
      </c>
      <c r="B1704" s="4">
        <f ca="1">IFERROR(__xludf.DUMMYFUNCTION("""COMPUTED_VALUE"""),965.59)</f>
        <v>965.59</v>
      </c>
      <c r="C1704" s="5">
        <f t="shared" ca="1" si="0"/>
        <v>8.8418825562647119E-3</v>
      </c>
    </row>
    <row r="1705" spans="1:3" ht="13" x14ac:dyDescent="0.15">
      <c r="A1705" s="3">
        <f ca="1">IFERROR(__xludf.DUMMYFUNCTION("""COMPUTED_VALUE"""),42912.6666666666)</f>
        <v>42912.666666666599</v>
      </c>
      <c r="B1705" s="4">
        <f ca="1">IFERROR(__xludf.DUMMYFUNCTION("""COMPUTED_VALUE"""),952.27)</f>
        <v>952.27</v>
      </c>
      <c r="C1705" s="5">
        <f t="shared" ca="1" si="0"/>
        <v>-1.3890705448464319E-2</v>
      </c>
    </row>
    <row r="1706" spans="1:3" ht="13" x14ac:dyDescent="0.15">
      <c r="A1706" s="3">
        <f ca="1">IFERROR(__xludf.DUMMYFUNCTION("""COMPUTED_VALUE"""),42913.6666666666)</f>
        <v>42913.666666666599</v>
      </c>
      <c r="B1706" s="4">
        <f ca="1">IFERROR(__xludf.DUMMYFUNCTION("""COMPUTED_VALUE"""),927.33)</f>
        <v>927.33</v>
      </c>
      <c r="C1706" s="5">
        <f t="shared" ca="1" si="0"/>
        <v>-2.6539118753539523E-2</v>
      </c>
    </row>
    <row r="1707" spans="1:3" ht="13" x14ac:dyDescent="0.15">
      <c r="A1707" s="3">
        <f ca="1">IFERROR(__xludf.DUMMYFUNCTION("""COMPUTED_VALUE"""),42914.6666666666)</f>
        <v>42914.666666666599</v>
      </c>
      <c r="B1707" s="4">
        <f ca="1">IFERROR(__xludf.DUMMYFUNCTION("""COMPUTED_VALUE"""),940.49)</f>
        <v>940.49</v>
      </c>
      <c r="C1707" s="5">
        <f t="shared" ca="1" si="0"/>
        <v>1.4091526769833169E-2</v>
      </c>
    </row>
    <row r="1708" spans="1:3" ht="13" x14ac:dyDescent="0.15">
      <c r="A1708" s="3">
        <f ca="1">IFERROR(__xludf.DUMMYFUNCTION("""COMPUTED_VALUE"""),42915.6666666666)</f>
        <v>42915.666666666599</v>
      </c>
      <c r="B1708" s="4">
        <f ca="1">IFERROR(__xludf.DUMMYFUNCTION("""COMPUTED_VALUE"""),917.79)</f>
        <v>917.79</v>
      </c>
      <c r="C1708" s="5">
        <f t="shared" ca="1" si="0"/>
        <v>-2.4432409760931924E-2</v>
      </c>
    </row>
    <row r="1709" spans="1:3" ht="13" x14ac:dyDescent="0.15">
      <c r="A1709" s="3">
        <f ca="1">IFERROR(__xludf.DUMMYFUNCTION("""COMPUTED_VALUE"""),42916.6666666666)</f>
        <v>42916.666666666599</v>
      </c>
      <c r="B1709" s="4">
        <f ca="1">IFERROR(__xludf.DUMMYFUNCTION("""COMPUTED_VALUE"""),908.73)</f>
        <v>908.73</v>
      </c>
      <c r="C1709" s="5">
        <f t="shared" ca="1" si="0"/>
        <v>-9.9205859289655685E-3</v>
      </c>
    </row>
    <row r="1710" spans="1:3" ht="13" x14ac:dyDescent="0.15">
      <c r="A1710" s="3">
        <f ca="1">IFERROR(__xludf.DUMMYFUNCTION("""COMPUTED_VALUE"""),42919.6666666666)</f>
        <v>42919.666666666599</v>
      </c>
      <c r="B1710" s="4">
        <f ca="1">IFERROR(__xludf.DUMMYFUNCTION("""COMPUTED_VALUE"""),898.7)</f>
        <v>898.7</v>
      </c>
      <c r="C1710" s="5">
        <f t="shared" ca="1" si="0"/>
        <v>-1.1098745688121263E-2</v>
      </c>
    </row>
    <row r="1711" spans="1:3" ht="13" x14ac:dyDescent="0.15">
      <c r="A1711" s="3">
        <f ca="1">IFERROR(__xludf.DUMMYFUNCTION("""COMPUTED_VALUE"""),42921.6666666666)</f>
        <v>42921.666666666599</v>
      </c>
      <c r="B1711" s="4">
        <f ca="1">IFERROR(__xludf.DUMMYFUNCTION("""COMPUTED_VALUE"""),911.71)</f>
        <v>911.71</v>
      </c>
      <c r="C1711" s="5">
        <f t="shared" ca="1" si="0"/>
        <v>1.4372682386722197E-2</v>
      </c>
    </row>
    <row r="1712" spans="1:3" ht="13" x14ac:dyDescent="0.15">
      <c r="A1712" s="3">
        <f ca="1">IFERROR(__xludf.DUMMYFUNCTION("""COMPUTED_VALUE"""),42922.6666666666)</f>
        <v>42922.666666666599</v>
      </c>
      <c r="B1712" s="4">
        <f ca="1">IFERROR(__xludf.DUMMYFUNCTION("""COMPUTED_VALUE"""),906.69)</f>
        <v>906.69</v>
      </c>
      <c r="C1712" s="5">
        <f t="shared" ca="1" si="0"/>
        <v>-5.5213514661458934E-3</v>
      </c>
    </row>
    <row r="1713" spans="1:3" ht="13" x14ac:dyDescent="0.15">
      <c r="A1713" s="3">
        <f ca="1">IFERROR(__xludf.DUMMYFUNCTION("""COMPUTED_VALUE"""),42923.6666666666)</f>
        <v>42923.666666666599</v>
      </c>
      <c r="B1713" s="4">
        <f ca="1">IFERROR(__xludf.DUMMYFUNCTION("""COMPUTED_VALUE"""),918.59)</f>
        <v>918.59</v>
      </c>
      <c r="C1713" s="5">
        <f t="shared" ca="1" si="0"/>
        <v>1.3039280116465773E-2</v>
      </c>
    </row>
    <row r="1714" spans="1:3" ht="13" x14ac:dyDescent="0.15">
      <c r="A1714" s="3">
        <f ca="1">IFERROR(__xludf.DUMMYFUNCTION("""COMPUTED_VALUE"""),42926.6666666666)</f>
        <v>42926.666666666599</v>
      </c>
      <c r="B1714" s="4">
        <f ca="1">IFERROR(__xludf.DUMMYFUNCTION("""COMPUTED_VALUE"""),928.8)</f>
        <v>928.8</v>
      </c>
      <c r="C1714" s="5">
        <f t="shared" ca="1" si="0"/>
        <v>1.1053544682311924E-2</v>
      </c>
    </row>
    <row r="1715" spans="1:3" ht="13" x14ac:dyDescent="0.15">
      <c r="A1715" s="3">
        <f ca="1">IFERROR(__xludf.DUMMYFUNCTION("""COMPUTED_VALUE"""),42927.6666666666)</f>
        <v>42927.666666666599</v>
      </c>
      <c r="B1715" s="4">
        <f ca="1">IFERROR(__xludf.DUMMYFUNCTION("""COMPUTED_VALUE"""),930.09)</f>
        <v>930.09</v>
      </c>
      <c r="C1715" s="5">
        <f t="shared" ca="1" si="0"/>
        <v>1.3879252748480759E-3</v>
      </c>
    </row>
    <row r="1716" spans="1:3" ht="13" x14ac:dyDescent="0.15">
      <c r="A1716" s="3">
        <f ca="1">IFERROR(__xludf.DUMMYFUNCTION("""COMPUTED_VALUE"""),42928.6666666666)</f>
        <v>42928.666666666599</v>
      </c>
      <c r="B1716" s="4">
        <f ca="1">IFERROR(__xludf.DUMMYFUNCTION("""COMPUTED_VALUE"""),943.83)</f>
        <v>943.83</v>
      </c>
      <c r="C1716" s="5">
        <f t="shared" ca="1" si="0"/>
        <v>1.4664709524003386E-2</v>
      </c>
    </row>
    <row r="1717" spans="1:3" ht="13" x14ac:dyDescent="0.15">
      <c r="A1717" s="3">
        <f ca="1">IFERROR(__xludf.DUMMYFUNCTION("""COMPUTED_VALUE"""),42929.6666666666)</f>
        <v>42929.666666666599</v>
      </c>
      <c r="B1717" s="4">
        <f ca="1">IFERROR(__xludf.DUMMYFUNCTION("""COMPUTED_VALUE"""),947.16)</f>
        <v>947.16</v>
      </c>
      <c r="C1717" s="5">
        <f t="shared" ca="1" si="0"/>
        <v>3.5219683257782328E-3</v>
      </c>
    </row>
    <row r="1718" spans="1:3" ht="13" x14ac:dyDescent="0.15">
      <c r="A1718" s="3">
        <f ca="1">IFERROR(__xludf.DUMMYFUNCTION("""COMPUTED_VALUE"""),42930.6666666666)</f>
        <v>42930.666666666599</v>
      </c>
      <c r="B1718" s="4">
        <f ca="1">IFERROR(__xludf.DUMMYFUNCTION("""COMPUTED_VALUE"""),955.99)</f>
        <v>955.99</v>
      </c>
      <c r="C1718" s="5">
        <f t="shared" ca="1" si="0"/>
        <v>9.2794192373351261E-3</v>
      </c>
    </row>
    <row r="1719" spans="1:3" ht="13" x14ac:dyDescent="0.15">
      <c r="A1719" s="3">
        <f ca="1">IFERROR(__xludf.DUMMYFUNCTION("""COMPUTED_VALUE"""),42933.6666666666)</f>
        <v>42933.666666666599</v>
      </c>
      <c r="B1719" s="4">
        <f ca="1">IFERROR(__xludf.DUMMYFUNCTION("""COMPUTED_VALUE"""),953.42)</f>
        <v>953.42</v>
      </c>
      <c r="C1719" s="5">
        <f t="shared" ca="1" si="0"/>
        <v>-2.6919326409298359E-3</v>
      </c>
    </row>
    <row r="1720" spans="1:3" ht="13" x14ac:dyDescent="0.15">
      <c r="A1720" s="3">
        <f ca="1">IFERROR(__xludf.DUMMYFUNCTION("""COMPUTED_VALUE"""),42934.6666666666)</f>
        <v>42934.666666666599</v>
      </c>
      <c r="B1720" s="4">
        <f ca="1">IFERROR(__xludf.DUMMYFUNCTION("""COMPUTED_VALUE"""),965.4)</f>
        <v>965.4</v>
      </c>
      <c r="C1720" s="5">
        <f t="shared" ca="1" si="0"/>
        <v>1.2487003121675768E-2</v>
      </c>
    </row>
    <row r="1721" spans="1:3" ht="13" x14ac:dyDescent="0.15">
      <c r="A1721" s="3">
        <f ca="1">IFERROR(__xludf.DUMMYFUNCTION("""COMPUTED_VALUE"""),42935.6666666666)</f>
        <v>42935.666666666599</v>
      </c>
      <c r="B1721" s="4">
        <f ca="1">IFERROR(__xludf.DUMMYFUNCTION("""COMPUTED_VALUE"""),970.89)</f>
        <v>970.89</v>
      </c>
      <c r="C1721" s="5">
        <f t="shared" ca="1" si="0"/>
        <v>5.6706533747565907E-3</v>
      </c>
    </row>
    <row r="1722" spans="1:3" ht="13" x14ac:dyDescent="0.15">
      <c r="A1722" s="3">
        <f ca="1">IFERROR(__xludf.DUMMYFUNCTION("""COMPUTED_VALUE"""),42936.6666666666)</f>
        <v>42936.666666666599</v>
      </c>
      <c r="B1722" s="4">
        <f ca="1">IFERROR(__xludf.DUMMYFUNCTION("""COMPUTED_VALUE"""),968.15)</f>
        <v>968.15</v>
      </c>
      <c r="C1722" s="5">
        <f t="shared" ca="1" si="0"/>
        <v>-2.8261426517419614E-3</v>
      </c>
    </row>
    <row r="1723" spans="1:3" ht="13" x14ac:dyDescent="0.15">
      <c r="A1723" s="3">
        <f ca="1">IFERROR(__xludf.DUMMYFUNCTION("""COMPUTED_VALUE"""),42937.6666666666)</f>
        <v>42937.666666666599</v>
      </c>
      <c r="B1723" s="4">
        <f ca="1">IFERROR(__xludf.DUMMYFUNCTION("""COMPUTED_VALUE"""),972.92)</f>
        <v>972.92</v>
      </c>
      <c r="C1723" s="5">
        <f t="shared" ca="1" si="0"/>
        <v>4.9148249180183193E-3</v>
      </c>
    </row>
    <row r="1724" spans="1:3" ht="13" x14ac:dyDescent="0.15">
      <c r="A1724" s="3">
        <f ca="1">IFERROR(__xludf.DUMMYFUNCTION("""COMPUTED_VALUE"""),42940.6666666666)</f>
        <v>42940.666666666599</v>
      </c>
      <c r="B1724" s="4">
        <f ca="1">IFERROR(__xludf.DUMMYFUNCTION("""COMPUTED_VALUE"""),980.34)</f>
        <v>980.34</v>
      </c>
      <c r="C1724" s="5">
        <f t="shared" ca="1" si="0"/>
        <v>7.597591403361535E-3</v>
      </c>
    </row>
    <row r="1725" spans="1:3" ht="13" x14ac:dyDescent="0.15">
      <c r="A1725" s="3">
        <f ca="1">IFERROR(__xludf.DUMMYFUNCTION("""COMPUTED_VALUE"""),42941.6666666666)</f>
        <v>42941.666666666599</v>
      </c>
      <c r="B1725" s="4">
        <f ca="1">IFERROR(__xludf.DUMMYFUNCTION("""COMPUTED_VALUE"""),950.7)</f>
        <v>950.7</v>
      </c>
      <c r="C1725" s="5">
        <f t="shared" ca="1" si="0"/>
        <v>-3.0700894905802367E-2</v>
      </c>
    </row>
    <row r="1726" spans="1:3" ht="13" x14ac:dyDescent="0.15">
      <c r="A1726" s="3">
        <f ca="1">IFERROR(__xludf.DUMMYFUNCTION("""COMPUTED_VALUE"""),42942.6666666666)</f>
        <v>42942.666666666599</v>
      </c>
      <c r="B1726" s="4">
        <f ca="1">IFERROR(__xludf.DUMMYFUNCTION("""COMPUTED_VALUE"""),947.8)</f>
        <v>947.8</v>
      </c>
      <c r="C1726" s="5">
        <f t="shared" ca="1" si="0"/>
        <v>-3.0550458314969084E-3</v>
      </c>
    </row>
    <row r="1727" spans="1:3" ht="13" x14ac:dyDescent="0.15">
      <c r="A1727" s="3">
        <f ca="1">IFERROR(__xludf.DUMMYFUNCTION("""COMPUTED_VALUE"""),42943.6666666666)</f>
        <v>42943.666666666599</v>
      </c>
      <c r="B1727" s="4">
        <f ca="1">IFERROR(__xludf.DUMMYFUNCTION("""COMPUTED_VALUE"""),934.09)</f>
        <v>934.09</v>
      </c>
      <c r="C1727" s="5">
        <f t="shared" ca="1" si="0"/>
        <v>-1.4570716203906382E-2</v>
      </c>
    </row>
    <row r="1728" spans="1:3" ht="13" x14ac:dyDescent="0.15">
      <c r="A1728" s="3">
        <f ca="1">IFERROR(__xludf.DUMMYFUNCTION("""COMPUTED_VALUE"""),42944.6666666666)</f>
        <v>42944.666666666599</v>
      </c>
      <c r="B1728" s="4">
        <f ca="1">IFERROR(__xludf.DUMMYFUNCTION("""COMPUTED_VALUE"""),941.53)</f>
        <v>941.53</v>
      </c>
      <c r="C1728" s="5">
        <f t="shared" ca="1" si="0"/>
        <v>7.9334183067114959E-3</v>
      </c>
    </row>
    <row r="1729" spans="1:3" ht="13" x14ac:dyDescent="0.15">
      <c r="A1729" s="3">
        <f ca="1">IFERROR(__xludf.DUMMYFUNCTION("""COMPUTED_VALUE"""),42947.6666666666)</f>
        <v>42947.666666666599</v>
      </c>
      <c r="B1729" s="4">
        <f ca="1">IFERROR(__xludf.DUMMYFUNCTION("""COMPUTED_VALUE"""),930.5)</f>
        <v>930.5</v>
      </c>
      <c r="C1729" s="5">
        <f t="shared" ca="1" si="0"/>
        <v>-1.1784135553987635E-2</v>
      </c>
    </row>
    <row r="1730" spans="1:3" ht="13" x14ac:dyDescent="0.15">
      <c r="A1730" s="3">
        <f ca="1">IFERROR(__xludf.DUMMYFUNCTION("""COMPUTED_VALUE"""),42948.6666666666)</f>
        <v>42948.666666666599</v>
      </c>
      <c r="B1730" s="4">
        <f ca="1">IFERROR(__xludf.DUMMYFUNCTION("""COMPUTED_VALUE"""),930.83)</f>
        <v>930.83</v>
      </c>
      <c r="C1730" s="5">
        <f t="shared" ca="1" si="0"/>
        <v>3.5458516593791806E-4</v>
      </c>
    </row>
    <row r="1731" spans="1:3" ht="13" x14ac:dyDescent="0.15">
      <c r="A1731" s="3">
        <f ca="1">IFERROR(__xludf.DUMMYFUNCTION("""COMPUTED_VALUE"""),42949.6666666666)</f>
        <v>42949.666666666599</v>
      </c>
      <c r="B1731" s="4">
        <f ca="1">IFERROR(__xludf.DUMMYFUNCTION("""COMPUTED_VALUE"""),930.39)</f>
        <v>930.39</v>
      </c>
      <c r="C1731" s="5">
        <f t="shared" ca="1" si="0"/>
        <v>-4.728081668977947E-4</v>
      </c>
    </row>
    <row r="1732" spans="1:3" ht="13" x14ac:dyDescent="0.15">
      <c r="A1732" s="3">
        <f ca="1">IFERROR(__xludf.DUMMYFUNCTION("""COMPUTED_VALUE"""),42950.6666666666)</f>
        <v>42950.666666666599</v>
      </c>
      <c r="B1732" s="4">
        <f ca="1">IFERROR(__xludf.DUMMYFUNCTION("""COMPUTED_VALUE"""),923.65)</f>
        <v>923.65</v>
      </c>
      <c r="C1732" s="5">
        <f t="shared" ca="1" si="0"/>
        <v>-7.2706410766991674E-3</v>
      </c>
    </row>
    <row r="1733" spans="1:3" ht="13" x14ac:dyDescent="0.15">
      <c r="A1733" s="3">
        <f ca="1">IFERROR(__xludf.DUMMYFUNCTION("""COMPUTED_VALUE"""),42951.6666666666)</f>
        <v>42951.666666666599</v>
      </c>
      <c r="B1733" s="4">
        <f ca="1">IFERROR(__xludf.DUMMYFUNCTION("""COMPUTED_VALUE"""),927.96)</f>
        <v>927.96</v>
      </c>
      <c r="C1733" s="5">
        <f t="shared" ca="1" si="0"/>
        <v>4.6554164042981148E-3</v>
      </c>
    </row>
    <row r="1734" spans="1:3" ht="13" x14ac:dyDescent="0.15">
      <c r="A1734" s="3">
        <f ca="1">IFERROR(__xludf.DUMMYFUNCTION("""COMPUTED_VALUE"""),42954.6666666666)</f>
        <v>42954.666666666599</v>
      </c>
      <c r="B1734" s="4">
        <f ca="1">IFERROR(__xludf.DUMMYFUNCTION("""COMPUTED_VALUE"""),929.36)</f>
        <v>929.36</v>
      </c>
      <c r="C1734" s="5">
        <f t="shared" ca="1" si="0"/>
        <v>1.5075487962748605E-3</v>
      </c>
    </row>
    <row r="1735" spans="1:3" ht="13" x14ac:dyDescent="0.15">
      <c r="A1735" s="3">
        <f ca="1">IFERROR(__xludf.DUMMYFUNCTION("""COMPUTED_VALUE"""),42955.6666666666)</f>
        <v>42955.666666666599</v>
      </c>
      <c r="B1735" s="4">
        <f ca="1">IFERROR(__xludf.DUMMYFUNCTION("""COMPUTED_VALUE"""),926.79)</f>
        <v>926.79</v>
      </c>
      <c r="C1735" s="5">
        <f t="shared" ca="1" si="0"/>
        <v>-2.7691745196239759E-3</v>
      </c>
    </row>
    <row r="1736" spans="1:3" ht="13" x14ac:dyDescent="0.15">
      <c r="A1736" s="3">
        <f ca="1">IFERROR(__xludf.DUMMYFUNCTION("""COMPUTED_VALUE"""),42956.6666666666)</f>
        <v>42956.666666666599</v>
      </c>
      <c r="B1736" s="4">
        <f ca="1">IFERROR(__xludf.DUMMYFUNCTION("""COMPUTED_VALUE"""),922.9)</f>
        <v>922.9</v>
      </c>
      <c r="C1736" s="5">
        <f t="shared" ca="1" si="0"/>
        <v>-4.2061164140644253E-3</v>
      </c>
    </row>
    <row r="1737" spans="1:3" ht="13" x14ac:dyDescent="0.15">
      <c r="A1737" s="3">
        <f ca="1">IFERROR(__xludf.DUMMYFUNCTION("""COMPUTED_VALUE"""),42957.6666666666)</f>
        <v>42957.666666666599</v>
      </c>
      <c r="B1737" s="4">
        <f ca="1">IFERROR(__xludf.DUMMYFUNCTION("""COMPUTED_VALUE"""),907.24)</f>
        <v>907.24</v>
      </c>
      <c r="C1737" s="5">
        <f t="shared" ca="1" si="0"/>
        <v>-1.7113862559295867E-2</v>
      </c>
    </row>
    <row r="1738" spans="1:3" ht="13" x14ac:dyDescent="0.15">
      <c r="A1738" s="3">
        <f ca="1">IFERROR(__xludf.DUMMYFUNCTION("""COMPUTED_VALUE"""),42958.6666666666)</f>
        <v>42958.666666666599</v>
      </c>
      <c r="B1738" s="4">
        <f ca="1">IFERROR(__xludf.DUMMYFUNCTION("""COMPUTED_VALUE"""),914.39)</f>
        <v>914.39</v>
      </c>
      <c r="C1738" s="5">
        <f t="shared" ca="1" si="0"/>
        <v>7.8501525755825599E-3</v>
      </c>
    </row>
    <row r="1739" spans="1:3" ht="13" x14ac:dyDescent="0.15">
      <c r="A1739" s="3">
        <f ca="1">IFERROR(__xludf.DUMMYFUNCTION("""COMPUTED_VALUE"""),42961.6666666666)</f>
        <v>42961.666666666599</v>
      </c>
      <c r="B1739" s="4">
        <f ca="1">IFERROR(__xludf.DUMMYFUNCTION("""COMPUTED_VALUE"""),922.67)</f>
        <v>922.67</v>
      </c>
      <c r="C1739" s="5">
        <f t="shared" ca="1" si="0"/>
        <v>9.0144644918700445E-3</v>
      </c>
    </row>
    <row r="1740" spans="1:3" ht="13" x14ac:dyDescent="0.15">
      <c r="A1740" s="3">
        <f ca="1">IFERROR(__xludf.DUMMYFUNCTION("""COMPUTED_VALUE"""),42962.6666666666)</f>
        <v>42962.666666666599</v>
      </c>
      <c r="B1740" s="4">
        <f ca="1">IFERROR(__xludf.DUMMYFUNCTION("""COMPUTED_VALUE"""),922.22)</f>
        <v>922.22</v>
      </c>
      <c r="C1740" s="5">
        <f t="shared" ca="1" si="0"/>
        <v>-4.8783397267503417E-4</v>
      </c>
    </row>
    <row r="1741" spans="1:3" ht="13" x14ac:dyDescent="0.15">
      <c r="A1741" s="3">
        <f ca="1">IFERROR(__xludf.DUMMYFUNCTION("""COMPUTED_VALUE"""),42963.6666666666)</f>
        <v>42963.666666666599</v>
      </c>
      <c r="B1741" s="4">
        <f ca="1">IFERROR(__xludf.DUMMYFUNCTION("""COMPUTED_VALUE"""),926.96)</f>
        <v>926.96</v>
      </c>
      <c r="C1741" s="5">
        <f t="shared" ca="1" si="0"/>
        <v>5.1266078817942835E-3</v>
      </c>
    </row>
    <row r="1742" spans="1:3" ht="13" x14ac:dyDescent="0.15">
      <c r="A1742" s="3">
        <f ca="1">IFERROR(__xludf.DUMMYFUNCTION("""COMPUTED_VALUE"""),42964.6666666666)</f>
        <v>42964.666666666599</v>
      </c>
      <c r="B1742" s="4">
        <f ca="1">IFERROR(__xludf.DUMMYFUNCTION("""COMPUTED_VALUE"""),910.98)</f>
        <v>910.98</v>
      </c>
      <c r="C1742" s="5">
        <f t="shared" ca="1" si="0"/>
        <v>-1.7389471566655611E-2</v>
      </c>
    </row>
    <row r="1743" spans="1:3" ht="13" x14ac:dyDescent="0.15">
      <c r="A1743" s="3">
        <f ca="1">IFERROR(__xludf.DUMMYFUNCTION("""COMPUTED_VALUE"""),42965.6666666666)</f>
        <v>42965.666666666599</v>
      </c>
      <c r="B1743" s="4">
        <f ca="1">IFERROR(__xludf.DUMMYFUNCTION("""COMPUTED_VALUE"""),910.67)</f>
        <v>910.67</v>
      </c>
      <c r="C1743" s="5">
        <f t="shared" ca="1" si="0"/>
        <v>-3.4035078417097821E-4</v>
      </c>
    </row>
    <row r="1744" spans="1:3" ht="13" x14ac:dyDescent="0.15">
      <c r="A1744" s="3">
        <f ca="1">IFERROR(__xludf.DUMMYFUNCTION("""COMPUTED_VALUE"""),42968.6666666666)</f>
        <v>42968.666666666599</v>
      </c>
      <c r="B1744" s="4">
        <f ca="1">IFERROR(__xludf.DUMMYFUNCTION("""COMPUTED_VALUE"""),906.66)</f>
        <v>906.66</v>
      </c>
      <c r="C1744" s="5">
        <f t="shared" ca="1" si="0"/>
        <v>-4.4130746842564799E-3</v>
      </c>
    </row>
    <row r="1745" spans="1:3" ht="13" x14ac:dyDescent="0.15">
      <c r="A1745" s="3">
        <f ca="1">IFERROR(__xludf.DUMMYFUNCTION("""COMPUTED_VALUE"""),42969.6666666666)</f>
        <v>42969.666666666599</v>
      </c>
      <c r="B1745" s="4">
        <f ca="1">IFERROR(__xludf.DUMMYFUNCTION("""COMPUTED_VALUE"""),924.69)</f>
        <v>924.69</v>
      </c>
      <c r="C1745" s="5">
        <f t="shared" ca="1" si="0"/>
        <v>1.9691028553236706E-2</v>
      </c>
    </row>
    <row r="1746" spans="1:3" ht="13" x14ac:dyDescent="0.15">
      <c r="A1746" s="3">
        <f ca="1">IFERROR(__xludf.DUMMYFUNCTION("""COMPUTED_VALUE"""),42970.6666666666)</f>
        <v>42970.666666666599</v>
      </c>
      <c r="B1746" s="4">
        <f ca="1">IFERROR(__xludf.DUMMYFUNCTION("""COMPUTED_VALUE"""),927)</f>
        <v>927</v>
      </c>
      <c r="C1746" s="5">
        <f t="shared" ca="1" si="0"/>
        <v>2.4950193588944803E-3</v>
      </c>
    </row>
    <row r="1747" spans="1:3" ht="13" x14ac:dyDescent="0.15">
      <c r="A1747" s="3">
        <f ca="1">IFERROR(__xludf.DUMMYFUNCTION("""COMPUTED_VALUE"""),42971.6666666666)</f>
        <v>42971.666666666599</v>
      </c>
      <c r="B1747" s="4">
        <f ca="1">IFERROR(__xludf.DUMMYFUNCTION("""COMPUTED_VALUE"""),921.28)</f>
        <v>921.28</v>
      </c>
      <c r="C1747" s="5">
        <f t="shared" ca="1" si="0"/>
        <v>-6.1895581420441477E-3</v>
      </c>
    </row>
    <row r="1748" spans="1:3" ht="13" x14ac:dyDescent="0.15">
      <c r="A1748" s="3">
        <f ca="1">IFERROR(__xludf.DUMMYFUNCTION("""COMPUTED_VALUE"""),42972.6666666666)</f>
        <v>42972.666666666599</v>
      </c>
      <c r="B1748" s="4">
        <f ca="1">IFERROR(__xludf.DUMMYFUNCTION("""COMPUTED_VALUE"""),915.89)</f>
        <v>915.89</v>
      </c>
      <c r="C1748" s="5">
        <f t="shared" ca="1" si="0"/>
        <v>-5.8677372969867837E-3</v>
      </c>
    </row>
    <row r="1749" spans="1:3" ht="13" x14ac:dyDescent="0.15">
      <c r="A1749" s="3">
        <f ca="1">IFERROR(__xludf.DUMMYFUNCTION("""COMPUTED_VALUE"""),42975.6666666666)</f>
        <v>42975.666666666599</v>
      </c>
      <c r="B1749" s="4">
        <f ca="1">IFERROR(__xludf.DUMMYFUNCTION("""COMPUTED_VALUE"""),913.81)</f>
        <v>913.81</v>
      </c>
      <c r="C1749" s="5">
        <f t="shared" ca="1" si="0"/>
        <v>-2.2735977438953668E-3</v>
      </c>
    </row>
    <row r="1750" spans="1:3" ht="13" x14ac:dyDescent="0.15">
      <c r="A1750" s="3">
        <f ca="1">IFERROR(__xludf.DUMMYFUNCTION("""COMPUTED_VALUE"""),42976.6666666666)</f>
        <v>42976.666666666599</v>
      </c>
      <c r="B1750" s="4">
        <f ca="1">IFERROR(__xludf.DUMMYFUNCTION("""COMPUTED_VALUE"""),921.29)</f>
        <v>921.29</v>
      </c>
      <c r="C1750" s="5">
        <f t="shared" ca="1" si="0"/>
        <v>8.1521894453283512E-3</v>
      </c>
    </row>
    <row r="1751" spans="1:3" ht="13" x14ac:dyDescent="0.15">
      <c r="A1751" s="3">
        <f ca="1">IFERROR(__xludf.DUMMYFUNCTION("""COMPUTED_VALUE"""),42977.6666666666)</f>
        <v>42977.666666666599</v>
      </c>
      <c r="B1751" s="4">
        <f ca="1">IFERROR(__xludf.DUMMYFUNCTION("""COMPUTED_VALUE"""),929.57)</f>
        <v>929.57</v>
      </c>
      <c r="C1751" s="5">
        <f t="shared" ca="1" si="0"/>
        <v>8.9472518037168255E-3</v>
      </c>
    </row>
    <row r="1752" spans="1:3" ht="13" x14ac:dyDescent="0.15">
      <c r="A1752" s="3">
        <f ca="1">IFERROR(__xludf.DUMMYFUNCTION("""COMPUTED_VALUE"""),42978.6666666666)</f>
        <v>42978.666666666599</v>
      </c>
      <c r="B1752" s="4">
        <f ca="1">IFERROR(__xludf.DUMMYFUNCTION("""COMPUTED_VALUE"""),939.33)</f>
        <v>939.33</v>
      </c>
      <c r="C1752" s="5">
        <f t="shared" ca="1" si="0"/>
        <v>1.0444741536205986E-2</v>
      </c>
    </row>
    <row r="1753" spans="1:3" ht="13" x14ac:dyDescent="0.15">
      <c r="A1753" s="3">
        <f ca="1">IFERROR(__xludf.DUMMYFUNCTION("""COMPUTED_VALUE"""),42979.6666666666)</f>
        <v>42979.666666666599</v>
      </c>
      <c r="B1753" s="4">
        <f ca="1">IFERROR(__xludf.DUMMYFUNCTION("""COMPUTED_VALUE"""),937.34)</f>
        <v>937.34</v>
      </c>
      <c r="C1753" s="5">
        <f t="shared" ca="1" si="0"/>
        <v>-2.1207785554933434E-3</v>
      </c>
    </row>
    <row r="1754" spans="1:3" ht="13" x14ac:dyDescent="0.15">
      <c r="A1754" s="3">
        <f ca="1">IFERROR(__xludf.DUMMYFUNCTION("""COMPUTED_VALUE"""),42983.6666666666)</f>
        <v>42983.666666666599</v>
      </c>
      <c r="B1754" s="4">
        <f ca="1">IFERROR(__xludf.DUMMYFUNCTION("""COMPUTED_VALUE"""),928.45)</f>
        <v>928.45</v>
      </c>
      <c r="C1754" s="5">
        <f t="shared" ca="1" si="0"/>
        <v>-9.529547566081811E-3</v>
      </c>
    </row>
    <row r="1755" spans="1:3" ht="13" x14ac:dyDescent="0.15">
      <c r="A1755" s="3">
        <f ca="1">IFERROR(__xludf.DUMMYFUNCTION("""COMPUTED_VALUE"""),42984.6666666666)</f>
        <v>42984.666666666599</v>
      </c>
      <c r="B1755" s="4">
        <f ca="1">IFERROR(__xludf.DUMMYFUNCTION("""COMPUTED_VALUE"""),927.81)</f>
        <v>927.81</v>
      </c>
      <c r="C1755" s="5">
        <f t="shared" ca="1" si="0"/>
        <v>-6.8955860209200912E-4</v>
      </c>
    </row>
    <row r="1756" spans="1:3" ht="13" x14ac:dyDescent="0.15">
      <c r="A1756" s="3">
        <f ca="1">IFERROR(__xludf.DUMMYFUNCTION("""COMPUTED_VALUE"""),42985.6666666666)</f>
        <v>42985.666666666599</v>
      </c>
      <c r="B1756" s="4">
        <f ca="1">IFERROR(__xludf.DUMMYFUNCTION("""COMPUTED_VALUE"""),935.95)</f>
        <v>935.95</v>
      </c>
      <c r="C1756" s="5">
        <f t="shared" ca="1" si="0"/>
        <v>8.7350858028256168E-3</v>
      </c>
    </row>
    <row r="1757" spans="1:3" ht="13" x14ac:dyDescent="0.15">
      <c r="A1757" s="3">
        <f ca="1">IFERROR(__xludf.DUMMYFUNCTION("""COMPUTED_VALUE"""),42986.6666666666)</f>
        <v>42986.666666666599</v>
      </c>
      <c r="B1757" s="4">
        <f ca="1">IFERROR(__xludf.DUMMYFUNCTION("""COMPUTED_VALUE"""),926.5)</f>
        <v>926.5</v>
      </c>
      <c r="C1757" s="5">
        <f t="shared" ca="1" si="0"/>
        <v>-1.0148010521923713E-2</v>
      </c>
    </row>
    <row r="1758" spans="1:3" ht="13" x14ac:dyDescent="0.15">
      <c r="A1758" s="3">
        <f ca="1">IFERROR(__xludf.DUMMYFUNCTION("""COMPUTED_VALUE"""),42989.6666666666)</f>
        <v>42989.666666666599</v>
      </c>
      <c r="B1758" s="4">
        <f ca="1">IFERROR(__xludf.DUMMYFUNCTION("""COMPUTED_VALUE"""),929.08)</f>
        <v>929.08</v>
      </c>
      <c r="C1758" s="5">
        <f t="shared" ca="1" si="0"/>
        <v>2.780803482001873E-3</v>
      </c>
    </row>
    <row r="1759" spans="1:3" ht="13" x14ac:dyDescent="0.15">
      <c r="A1759" s="3">
        <f ca="1">IFERROR(__xludf.DUMMYFUNCTION("""COMPUTED_VALUE"""),42990.6666666666)</f>
        <v>42990.666666666599</v>
      </c>
      <c r="B1759" s="4">
        <f ca="1">IFERROR(__xludf.DUMMYFUNCTION("""COMPUTED_VALUE"""),932.07)</f>
        <v>932.07</v>
      </c>
      <c r="C1759" s="5">
        <f t="shared" ca="1" si="0"/>
        <v>3.2130699539005486E-3</v>
      </c>
    </row>
    <row r="1760" spans="1:3" ht="13" x14ac:dyDescent="0.15">
      <c r="A1760" s="3">
        <f ca="1">IFERROR(__xludf.DUMMYFUNCTION("""COMPUTED_VALUE"""),42991.6666666666)</f>
        <v>42991.666666666599</v>
      </c>
      <c r="B1760" s="4">
        <f ca="1">IFERROR(__xludf.DUMMYFUNCTION("""COMPUTED_VALUE"""),935.09)</f>
        <v>935.09</v>
      </c>
      <c r="C1760" s="5">
        <f t="shared" ca="1" si="0"/>
        <v>3.2348621794847264E-3</v>
      </c>
    </row>
    <row r="1761" spans="1:3" ht="13" x14ac:dyDescent="0.15">
      <c r="A1761" s="3">
        <f ca="1">IFERROR(__xludf.DUMMYFUNCTION("""COMPUTED_VALUE"""),42992.6666666666)</f>
        <v>42992.666666666599</v>
      </c>
      <c r="B1761" s="4">
        <f ca="1">IFERROR(__xludf.DUMMYFUNCTION("""COMPUTED_VALUE"""),925.11)</f>
        <v>925.11</v>
      </c>
      <c r="C1761" s="5">
        <f t="shared" ca="1" si="0"/>
        <v>-1.0730131979751563E-2</v>
      </c>
    </row>
    <row r="1762" spans="1:3" ht="13" x14ac:dyDescent="0.15">
      <c r="A1762" s="3">
        <f ca="1">IFERROR(__xludf.DUMMYFUNCTION("""COMPUTED_VALUE"""),42993.6666666666)</f>
        <v>42993.666666666599</v>
      </c>
      <c r="B1762" s="4">
        <f ca="1">IFERROR(__xludf.DUMMYFUNCTION("""COMPUTED_VALUE"""),920.29)</f>
        <v>920.29</v>
      </c>
      <c r="C1762" s="5">
        <f t="shared" ca="1" si="0"/>
        <v>-5.2238115972238859E-3</v>
      </c>
    </row>
    <row r="1763" spans="1:3" ht="13" x14ac:dyDescent="0.15">
      <c r="A1763" s="3">
        <f ca="1">IFERROR(__xludf.DUMMYFUNCTION("""COMPUTED_VALUE"""),42996.6666666666)</f>
        <v>42996.666666666599</v>
      </c>
      <c r="B1763" s="4">
        <f ca="1">IFERROR(__xludf.DUMMYFUNCTION("""COMPUTED_VALUE"""),915)</f>
        <v>915</v>
      </c>
      <c r="C1763" s="5">
        <f t="shared" ca="1" si="0"/>
        <v>-5.7647724883047998E-3</v>
      </c>
    </row>
    <row r="1764" spans="1:3" ht="13" x14ac:dyDescent="0.15">
      <c r="A1764" s="3">
        <f ca="1">IFERROR(__xludf.DUMMYFUNCTION("""COMPUTED_VALUE"""),42997.6666666666)</f>
        <v>42997.666666666599</v>
      </c>
      <c r="B1764" s="4">
        <f ca="1">IFERROR(__xludf.DUMMYFUNCTION("""COMPUTED_VALUE"""),921.81)</f>
        <v>921.81</v>
      </c>
      <c r="C1764" s="5">
        <f t="shared" ca="1" si="0"/>
        <v>7.4150632922475902E-3</v>
      </c>
    </row>
    <row r="1765" spans="1:3" ht="13" x14ac:dyDescent="0.15">
      <c r="A1765" s="3">
        <f ca="1">IFERROR(__xludf.DUMMYFUNCTION("""COMPUTED_VALUE"""),42998.6666666666)</f>
        <v>42998.666666666599</v>
      </c>
      <c r="B1765" s="4">
        <f ca="1">IFERROR(__xludf.DUMMYFUNCTION("""COMPUTED_VALUE"""),931.58)</f>
        <v>931.58</v>
      </c>
      <c r="C1765" s="5">
        <f t="shared" ca="1" si="0"/>
        <v>1.0542940770575601E-2</v>
      </c>
    </row>
    <row r="1766" spans="1:3" ht="13" x14ac:dyDescent="0.15">
      <c r="A1766" s="3">
        <f ca="1">IFERROR(__xludf.DUMMYFUNCTION("""COMPUTED_VALUE"""),42999.6666666666)</f>
        <v>42999.666666666599</v>
      </c>
      <c r="B1766" s="4">
        <f ca="1">IFERROR(__xludf.DUMMYFUNCTION("""COMPUTED_VALUE"""),932.45)</f>
        <v>932.45</v>
      </c>
      <c r="C1766" s="5">
        <f t="shared" ca="1" si="0"/>
        <v>9.3346143911084264E-4</v>
      </c>
    </row>
    <row r="1767" spans="1:3" ht="13" x14ac:dyDescent="0.15">
      <c r="A1767" s="3">
        <f ca="1">IFERROR(__xludf.DUMMYFUNCTION("""COMPUTED_VALUE"""),43000.6666666666)</f>
        <v>43000.666666666599</v>
      </c>
      <c r="B1767" s="4">
        <f ca="1">IFERROR(__xludf.DUMMYFUNCTION("""COMPUTED_VALUE"""),928.53)</f>
        <v>928.53</v>
      </c>
      <c r="C1767" s="5">
        <f t="shared" ca="1" si="0"/>
        <v>-4.2128403289514718E-3</v>
      </c>
    </row>
    <row r="1768" spans="1:3" ht="13" x14ac:dyDescent="0.15">
      <c r="A1768" s="3">
        <f ca="1">IFERROR(__xludf.DUMMYFUNCTION("""COMPUTED_VALUE"""),43003.6666666666)</f>
        <v>43003.666666666599</v>
      </c>
      <c r="B1768" s="4">
        <f ca="1">IFERROR(__xludf.DUMMYFUNCTION("""COMPUTED_VALUE"""),920.97)</f>
        <v>920.97</v>
      </c>
      <c r="C1768" s="5">
        <f t="shared" ca="1" si="0"/>
        <v>-8.1752280136203788E-3</v>
      </c>
    </row>
    <row r="1769" spans="1:3" ht="13" x14ac:dyDescent="0.15">
      <c r="A1769" s="3">
        <f ca="1">IFERROR(__xludf.DUMMYFUNCTION("""COMPUTED_VALUE"""),43004.6666666666)</f>
        <v>43004.666666666599</v>
      </c>
      <c r="B1769" s="4">
        <f ca="1">IFERROR(__xludf.DUMMYFUNCTION("""COMPUTED_VALUE"""),924.86)</f>
        <v>924.86</v>
      </c>
      <c r="C1769" s="5">
        <f t="shared" ca="1" si="0"/>
        <v>4.2149122714187351E-3</v>
      </c>
    </row>
    <row r="1770" spans="1:3" ht="13" x14ac:dyDescent="0.15">
      <c r="A1770" s="3">
        <f ca="1">IFERROR(__xludf.DUMMYFUNCTION("""COMPUTED_VALUE"""),43005.6666666666)</f>
        <v>43005.666666666599</v>
      </c>
      <c r="B1770" s="4">
        <f ca="1">IFERROR(__xludf.DUMMYFUNCTION("""COMPUTED_VALUE"""),944.49)</f>
        <v>944.49</v>
      </c>
      <c r="C1770" s="5">
        <f t="shared" ca="1" si="0"/>
        <v>2.1002724566719384E-2</v>
      </c>
    </row>
    <row r="1771" spans="1:3" ht="13" x14ac:dyDescent="0.15">
      <c r="A1771" s="3">
        <f ca="1">IFERROR(__xludf.DUMMYFUNCTION("""COMPUTED_VALUE"""),43006.6666666666)</f>
        <v>43006.666666666599</v>
      </c>
      <c r="B1771" s="4">
        <f ca="1">IFERROR(__xludf.DUMMYFUNCTION("""COMPUTED_VALUE"""),949.5)</f>
        <v>949.5</v>
      </c>
      <c r="C1771" s="5">
        <f t="shared" ca="1" si="0"/>
        <v>5.2904309793188678E-3</v>
      </c>
    </row>
    <row r="1772" spans="1:3" ht="13" x14ac:dyDescent="0.15">
      <c r="A1772" s="3">
        <f ca="1">IFERROR(__xludf.DUMMYFUNCTION("""COMPUTED_VALUE"""),43007.6666666666)</f>
        <v>43007.666666666599</v>
      </c>
      <c r="B1772" s="4">
        <f ca="1">IFERROR(__xludf.DUMMYFUNCTION("""COMPUTED_VALUE"""),959.11)</f>
        <v>959.11</v>
      </c>
      <c r="C1772" s="5">
        <f t="shared" ca="1" si="0"/>
        <v>1.0070240868665403E-2</v>
      </c>
    </row>
    <row r="1773" spans="1:3" ht="13" x14ac:dyDescent="0.15">
      <c r="A1773" s="3">
        <f ca="1">IFERROR(__xludf.DUMMYFUNCTION("""COMPUTED_VALUE"""),43010.6666666666)</f>
        <v>43010.666666666599</v>
      </c>
      <c r="B1773" s="4">
        <f ca="1">IFERROR(__xludf.DUMMYFUNCTION("""COMPUTED_VALUE"""),953.27)</f>
        <v>953.27</v>
      </c>
      <c r="C1773" s="5">
        <f t="shared" ca="1" si="0"/>
        <v>-6.1075917484581929E-3</v>
      </c>
    </row>
    <row r="1774" spans="1:3" ht="13" x14ac:dyDescent="0.15">
      <c r="A1774" s="3">
        <f ca="1">IFERROR(__xludf.DUMMYFUNCTION("""COMPUTED_VALUE"""),43011.6666666666)</f>
        <v>43011.666666666599</v>
      </c>
      <c r="B1774" s="4">
        <f ca="1">IFERROR(__xludf.DUMMYFUNCTION("""COMPUTED_VALUE"""),957.79)</f>
        <v>957.79</v>
      </c>
      <c r="C1774" s="5">
        <f t="shared" ca="1" si="0"/>
        <v>4.7303678884320589E-3</v>
      </c>
    </row>
    <row r="1775" spans="1:3" ht="13" x14ac:dyDescent="0.15">
      <c r="A1775" s="3">
        <f ca="1">IFERROR(__xludf.DUMMYFUNCTION("""COMPUTED_VALUE"""),43012.6666666666)</f>
        <v>43012.666666666599</v>
      </c>
      <c r="B1775" s="4">
        <f ca="1">IFERROR(__xludf.DUMMYFUNCTION("""COMPUTED_VALUE"""),951.68)</f>
        <v>951.68</v>
      </c>
      <c r="C1775" s="5">
        <f t="shared" ca="1" si="0"/>
        <v>-6.3997034292443689E-3</v>
      </c>
    </row>
    <row r="1776" spans="1:3" ht="13" x14ac:dyDescent="0.15">
      <c r="A1776" s="3">
        <f ca="1">IFERROR(__xludf.DUMMYFUNCTION("""COMPUTED_VALUE"""),43013.6666666666)</f>
        <v>43013.666666666599</v>
      </c>
      <c r="B1776" s="4">
        <f ca="1">IFERROR(__xludf.DUMMYFUNCTION("""COMPUTED_VALUE"""),969.96)</f>
        <v>969.96</v>
      </c>
      <c r="C1776" s="5">
        <f t="shared" ca="1" si="0"/>
        <v>1.9025989702017847E-2</v>
      </c>
    </row>
    <row r="1777" spans="1:3" ht="13" x14ac:dyDescent="0.15">
      <c r="A1777" s="3">
        <f ca="1">IFERROR(__xludf.DUMMYFUNCTION("""COMPUTED_VALUE"""),43014.6666666666)</f>
        <v>43014.666666666599</v>
      </c>
      <c r="B1777" s="4">
        <f ca="1">IFERROR(__xludf.DUMMYFUNCTION("""COMPUTED_VALUE"""),978.89)</f>
        <v>978.89</v>
      </c>
      <c r="C1777" s="5">
        <f t="shared" ca="1" si="0"/>
        <v>9.1644431333879773E-3</v>
      </c>
    </row>
    <row r="1778" spans="1:3" ht="13" x14ac:dyDescent="0.15">
      <c r="A1778" s="3">
        <f ca="1">IFERROR(__xludf.DUMMYFUNCTION("""COMPUTED_VALUE"""),43017.6666666666)</f>
        <v>43017.666666666599</v>
      </c>
      <c r="B1778" s="4">
        <f ca="1">IFERROR(__xludf.DUMMYFUNCTION("""COMPUTED_VALUE"""),977)</f>
        <v>977</v>
      </c>
      <c r="C1778" s="5">
        <f t="shared" ca="1" si="0"/>
        <v>-1.9326246243587021E-3</v>
      </c>
    </row>
    <row r="1779" spans="1:3" ht="13" x14ac:dyDescent="0.15">
      <c r="A1779" s="3">
        <f ca="1">IFERROR(__xludf.DUMMYFUNCTION("""COMPUTED_VALUE"""),43018.6666666666)</f>
        <v>43018.666666666599</v>
      </c>
      <c r="B1779" s="4">
        <f ca="1">IFERROR(__xludf.DUMMYFUNCTION("""COMPUTED_VALUE"""),972.6)</f>
        <v>972.6</v>
      </c>
      <c r="C1779" s="5">
        <f t="shared" ca="1" si="0"/>
        <v>-4.5137540730972887E-3</v>
      </c>
    </row>
    <row r="1780" spans="1:3" ht="13" x14ac:dyDescent="0.15">
      <c r="A1780" s="3">
        <f ca="1">IFERROR(__xludf.DUMMYFUNCTION("""COMPUTED_VALUE"""),43019.6666666666)</f>
        <v>43019.666666666599</v>
      </c>
      <c r="B1780" s="4">
        <f ca="1">IFERROR(__xludf.DUMMYFUNCTION("""COMPUTED_VALUE"""),989.25)</f>
        <v>989.25</v>
      </c>
      <c r="C1780" s="5">
        <f t="shared" ca="1" si="0"/>
        <v>1.6974182295848201E-2</v>
      </c>
    </row>
    <row r="1781" spans="1:3" ht="13" x14ac:dyDescent="0.15">
      <c r="A1781" s="3">
        <f ca="1">IFERROR(__xludf.DUMMYFUNCTION("""COMPUTED_VALUE"""),43020.6666666666)</f>
        <v>43020.666666666599</v>
      </c>
      <c r="B1781" s="4">
        <f ca="1">IFERROR(__xludf.DUMMYFUNCTION("""COMPUTED_VALUE"""),987.83)</f>
        <v>987.83</v>
      </c>
      <c r="C1781" s="5">
        <f t="shared" ca="1" si="0"/>
        <v>-1.4364620998358576E-3</v>
      </c>
    </row>
    <row r="1782" spans="1:3" ht="13" x14ac:dyDescent="0.15">
      <c r="A1782" s="3">
        <f ca="1">IFERROR(__xludf.DUMMYFUNCTION("""COMPUTED_VALUE"""),43021.6666666666)</f>
        <v>43021.666666666599</v>
      </c>
      <c r="B1782" s="4">
        <f ca="1">IFERROR(__xludf.DUMMYFUNCTION("""COMPUTED_VALUE"""),989.68)</f>
        <v>989.68</v>
      </c>
      <c r="C1782" s="5">
        <f t="shared" ca="1" si="0"/>
        <v>1.8710403888783488E-3</v>
      </c>
    </row>
    <row r="1783" spans="1:3" ht="13" x14ac:dyDescent="0.15">
      <c r="A1783" s="3">
        <f ca="1">IFERROR(__xludf.DUMMYFUNCTION("""COMPUTED_VALUE"""),43024.6666666666)</f>
        <v>43024.666666666599</v>
      </c>
      <c r="B1783" s="4">
        <f ca="1">IFERROR(__xludf.DUMMYFUNCTION("""COMPUTED_VALUE"""),992)</f>
        <v>992</v>
      </c>
      <c r="C1783" s="5">
        <f t="shared" ca="1" si="0"/>
        <v>2.3414487302967722E-3</v>
      </c>
    </row>
    <row r="1784" spans="1:3" ht="13" x14ac:dyDescent="0.15">
      <c r="A1784" s="3">
        <f ca="1">IFERROR(__xludf.DUMMYFUNCTION("""COMPUTED_VALUE"""),43025.6666666666)</f>
        <v>43025.666666666599</v>
      </c>
      <c r="B1784" s="4">
        <f ca="1">IFERROR(__xludf.DUMMYFUNCTION("""COMPUTED_VALUE"""),992.18)</f>
        <v>992.18</v>
      </c>
      <c r="C1784" s="5">
        <f t="shared" ca="1" si="0"/>
        <v>1.8143515255051183E-4</v>
      </c>
    </row>
    <row r="1785" spans="1:3" ht="13" x14ac:dyDescent="0.15">
      <c r="A1785" s="3">
        <f ca="1">IFERROR(__xludf.DUMMYFUNCTION("""COMPUTED_VALUE"""),43026.6666666666)</f>
        <v>43026.666666666599</v>
      </c>
      <c r="B1785" s="4">
        <f ca="1">IFERROR(__xludf.DUMMYFUNCTION("""COMPUTED_VALUE"""),992.81)</f>
        <v>992.81</v>
      </c>
      <c r="C1785" s="5">
        <f t="shared" ca="1" si="0"/>
        <v>6.3476392440632015E-4</v>
      </c>
    </row>
    <row r="1786" spans="1:3" ht="13" x14ac:dyDescent="0.15">
      <c r="A1786" s="3">
        <f ca="1">IFERROR(__xludf.DUMMYFUNCTION("""COMPUTED_VALUE"""),43027.6666666666)</f>
        <v>43027.666666666599</v>
      </c>
      <c r="B1786" s="4">
        <f ca="1">IFERROR(__xludf.DUMMYFUNCTION("""COMPUTED_VALUE"""),984.45)</f>
        <v>984.45</v>
      </c>
      <c r="C1786" s="5">
        <f t="shared" ca="1" si="0"/>
        <v>-8.456196773987984E-3</v>
      </c>
    </row>
    <row r="1787" spans="1:3" ht="13" x14ac:dyDescent="0.15">
      <c r="A1787" s="3">
        <f ca="1">IFERROR(__xludf.DUMMYFUNCTION("""COMPUTED_VALUE"""),43028.6666666666)</f>
        <v>43028.666666666599</v>
      </c>
      <c r="B1787" s="4">
        <f ca="1">IFERROR(__xludf.DUMMYFUNCTION("""COMPUTED_VALUE"""),988.2)</f>
        <v>988.2</v>
      </c>
      <c r="C1787" s="5">
        <f t="shared" ca="1" si="0"/>
        <v>3.8019968238082388E-3</v>
      </c>
    </row>
    <row r="1788" spans="1:3" ht="13" x14ac:dyDescent="0.15">
      <c r="A1788" s="3">
        <f ca="1">IFERROR(__xludf.DUMMYFUNCTION("""COMPUTED_VALUE"""),43031.6666666666)</f>
        <v>43031.666666666599</v>
      </c>
      <c r="B1788" s="4">
        <f ca="1">IFERROR(__xludf.DUMMYFUNCTION("""COMPUTED_VALUE"""),968.45)</f>
        <v>968.45</v>
      </c>
      <c r="C1788" s="5">
        <f t="shared" ca="1" si="0"/>
        <v>-2.0188251123401422E-2</v>
      </c>
    </row>
    <row r="1789" spans="1:3" ht="13" x14ac:dyDescent="0.15">
      <c r="A1789" s="3">
        <f ca="1">IFERROR(__xludf.DUMMYFUNCTION("""COMPUTED_VALUE"""),43032.6666666666)</f>
        <v>43032.666666666599</v>
      </c>
      <c r="B1789" s="4">
        <f ca="1">IFERROR(__xludf.DUMMYFUNCTION("""COMPUTED_VALUE"""),970.54)</f>
        <v>970.54</v>
      </c>
      <c r="C1789" s="5">
        <f t="shared" ca="1" si="0"/>
        <v>2.1557623395753712E-3</v>
      </c>
    </row>
    <row r="1790" spans="1:3" ht="13" x14ac:dyDescent="0.15">
      <c r="A1790" s="3">
        <f ca="1">IFERROR(__xludf.DUMMYFUNCTION("""COMPUTED_VALUE"""),43033.6666666666)</f>
        <v>43033.666666666599</v>
      </c>
      <c r="B1790" s="4">
        <f ca="1">IFERROR(__xludf.DUMMYFUNCTION("""COMPUTED_VALUE"""),973.33)</f>
        <v>973.33</v>
      </c>
      <c r="C1790" s="5">
        <f t="shared" ca="1" si="0"/>
        <v>2.8705643029957066E-3</v>
      </c>
    </row>
    <row r="1791" spans="1:3" ht="13" x14ac:dyDescent="0.15">
      <c r="A1791" s="3">
        <f ca="1">IFERROR(__xludf.DUMMYFUNCTION("""COMPUTED_VALUE"""),43034.6666666666)</f>
        <v>43034.666666666599</v>
      </c>
      <c r="B1791" s="4">
        <f ca="1">IFERROR(__xludf.DUMMYFUNCTION("""COMPUTED_VALUE"""),972.56)</f>
        <v>972.56</v>
      </c>
      <c r="C1791" s="5">
        <f t="shared" ca="1" si="0"/>
        <v>-7.9141168328096263E-4</v>
      </c>
    </row>
    <row r="1792" spans="1:3" ht="13" x14ac:dyDescent="0.15">
      <c r="A1792" s="3">
        <f ca="1">IFERROR(__xludf.DUMMYFUNCTION("""COMPUTED_VALUE"""),43035.6666666666)</f>
        <v>43035.666666666599</v>
      </c>
      <c r="B1792" s="4">
        <f ca="1">IFERROR(__xludf.DUMMYFUNCTION("""COMPUTED_VALUE"""),1019.27)</f>
        <v>1019.27</v>
      </c>
      <c r="C1792" s="5">
        <f t="shared" ca="1" si="0"/>
        <v>4.6910193530588055E-2</v>
      </c>
    </row>
    <row r="1793" spans="1:3" ht="13" x14ac:dyDescent="0.15">
      <c r="A1793" s="3">
        <f ca="1">IFERROR(__xludf.DUMMYFUNCTION("""COMPUTED_VALUE"""),43038.6666666666)</f>
        <v>43038.666666666599</v>
      </c>
      <c r="B1793" s="4">
        <f ca="1">IFERROR(__xludf.DUMMYFUNCTION("""COMPUTED_VALUE"""),1017.11)</f>
        <v>1017.11</v>
      </c>
      <c r="C1793" s="5">
        <f t="shared" ca="1" si="0"/>
        <v>-2.121412319969913E-3</v>
      </c>
    </row>
    <row r="1794" spans="1:3" ht="13" x14ac:dyDescent="0.15">
      <c r="A1794" s="3">
        <f ca="1">IFERROR(__xludf.DUMMYFUNCTION("""COMPUTED_VALUE"""),43039.6666666666)</f>
        <v>43039.666666666599</v>
      </c>
      <c r="B1794" s="4">
        <f ca="1">IFERROR(__xludf.DUMMYFUNCTION("""COMPUTED_VALUE"""),1016.64)</f>
        <v>1016.64</v>
      </c>
      <c r="C1794" s="5">
        <f t="shared" ca="1" si="0"/>
        <v>-4.6220037700519021E-4</v>
      </c>
    </row>
    <row r="1795" spans="1:3" ht="13" x14ac:dyDescent="0.15">
      <c r="A1795" s="3">
        <f ca="1">IFERROR(__xludf.DUMMYFUNCTION("""COMPUTED_VALUE"""),43040.6666666666)</f>
        <v>43040.666666666599</v>
      </c>
      <c r="B1795" s="4">
        <f ca="1">IFERROR(__xludf.DUMMYFUNCTION("""COMPUTED_VALUE"""),1025.5)</f>
        <v>1025.5</v>
      </c>
      <c r="C1795" s="5">
        <f t="shared" ca="1" si="0"/>
        <v>8.6772264312840481E-3</v>
      </c>
    </row>
    <row r="1796" spans="1:3" ht="13" x14ac:dyDescent="0.15">
      <c r="A1796" s="3">
        <f ca="1">IFERROR(__xludf.DUMMYFUNCTION("""COMPUTED_VALUE"""),43041.6666666666)</f>
        <v>43041.666666666599</v>
      </c>
      <c r="B1796" s="4">
        <f ca="1">IFERROR(__xludf.DUMMYFUNCTION("""COMPUTED_VALUE"""),1025.58)</f>
        <v>1025.58</v>
      </c>
      <c r="C1796" s="5">
        <f t="shared" ca="1" si="0"/>
        <v>7.800768379635942E-5</v>
      </c>
    </row>
    <row r="1797" spans="1:3" ht="13" x14ac:dyDescent="0.15">
      <c r="A1797" s="3">
        <f ca="1">IFERROR(__xludf.DUMMYFUNCTION("""COMPUTED_VALUE"""),43042.6666666666)</f>
        <v>43042.666666666599</v>
      </c>
      <c r="B1797" s="4">
        <f ca="1">IFERROR(__xludf.DUMMYFUNCTION("""COMPUTED_VALUE"""),1032.48)</f>
        <v>1032.48</v>
      </c>
      <c r="C1797" s="5">
        <f t="shared" ca="1" si="0"/>
        <v>6.7053689912980972E-3</v>
      </c>
    </row>
    <row r="1798" spans="1:3" ht="13" x14ac:dyDescent="0.15">
      <c r="A1798" s="3">
        <f ca="1">IFERROR(__xludf.DUMMYFUNCTION("""COMPUTED_VALUE"""),43045.6666666666)</f>
        <v>43045.666666666599</v>
      </c>
      <c r="B1798" s="4">
        <f ca="1">IFERROR(__xludf.DUMMYFUNCTION("""COMPUTED_VALUE"""),1025.9)</f>
        <v>1025.9000000000001</v>
      </c>
      <c r="C1798" s="5">
        <f t="shared" ca="1" si="0"/>
        <v>-6.3933990938624761E-3</v>
      </c>
    </row>
    <row r="1799" spans="1:3" ht="13" x14ac:dyDescent="0.15">
      <c r="A1799" s="3">
        <f ca="1">IFERROR(__xludf.DUMMYFUNCTION("""COMPUTED_VALUE"""),43046.6666666666)</f>
        <v>43046.666666666599</v>
      </c>
      <c r="B1799" s="4">
        <f ca="1">IFERROR(__xludf.DUMMYFUNCTION("""COMPUTED_VALUE"""),1033.33)</f>
        <v>1033.33</v>
      </c>
      <c r="C1799" s="5">
        <f t="shared" ca="1" si="0"/>
        <v>7.2163208998061029E-3</v>
      </c>
    </row>
    <row r="1800" spans="1:3" ht="13" x14ac:dyDescent="0.15">
      <c r="A1800" s="3">
        <f ca="1">IFERROR(__xludf.DUMMYFUNCTION("""COMPUTED_VALUE"""),43047.6666666666)</f>
        <v>43047.666666666599</v>
      </c>
      <c r="B1800" s="4">
        <f ca="1">IFERROR(__xludf.DUMMYFUNCTION("""COMPUTED_VALUE"""),1039.85)</f>
        <v>1039.8499999999999</v>
      </c>
      <c r="C1800" s="5">
        <f t="shared" ca="1" si="0"/>
        <v>6.289874970456604E-3</v>
      </c>
    </row>
    <row r="1801" spans="1:3" ht="13" x14ac:dyDescent="0.15">
      <c r="A1801" s="3">
        <f ca="1">IFERROR(__xludf.DUMMYFUNCTION("""COMPUTED_VALUE"""),43048.6666666666)</f>
        <v>43048.666666666599</v>
      </c>
      <c r="B1801" s="4">
        <f ca="1">IFERROR(__xludf.DUMMYFUNCTION("""COMPUTED_VALUE"""),1031.26)</f>
        <v>1031.26</v>
      </c>
      <c r="C1801" s="5">
        <f t="shared" ca="1" si="0"/>
        <v>-8.2951163923575023E-3</v>
      </c>
    </row>
    <row r="1802" spans="1:3" ht="13" x14ac:dyDescent="0.15">
      <c r="A1802" s="3">
        <f ca="1">IFERROR(__xludf.DUMMYFUNCTION("""COMPUTED_VALUE"""),43049.6666666666)</f>
        <v>43049.666666666599</v>
      </c>
      <c r="B1802" s="4">
        <f ca="1">IFERROR(__xludf.DUMMYFUNCTION("""COMPUTED_VALUE"""),1028.07)</f>
        <v>1028.07</v>
      </c>
      <c r="C1802" s="5">
        <f t="shared" ca="1" si="0"/>
        <v>-3.0980974894973573E-3</v>
      </c>
    </row>
    <row r="1803" spans="1:3" ht="13" x14ac:dyDescent="0.15">
      <c r="A1803" s="3">
        <f ca="1">IFERROR(__xludf.DUMMYFUNCTION("""COMPUTED_VALUE"""),43052.6666666666)</f>
        <v>43052.666666666599</v>
      </c>
      <c r="B1803" s="4">
        <f ca="1">IFERROR(__xludf.DUMMYFUNCTION("""COMPUTED_VALUE"""),1025.75)</f>
        <v>1025.75</v>
      </c>
      <c r="C1803" s="5">
        <f t="shared" ca="1" si="0"/>
        <v>-2.2592057597795993E-3</v>
      </c>
    </row>
    <row r="1804" spans="1:3" ht="13" x14ac:dyDescent="0.15">
      <c r="A1804" s="3">
        <f ca="1">IFERROR(__xludf.DUMMYFUNCTION("""COMPUTED_VALUE"""),43053.6666666666)</f>
        <v>43053.666666666599</v>
      </c>
      <c r="B1804" s="4">
        <f ca="1">IFERROR(__xludf.DUMMYFUNCTION("""COMPUTED_VALUE"""),1026)</f>
        <v>1026</v>
      </c>
      <c r="C1804" s="5">
        <f t="shared" ca="1" si="0"/>
        <v>2.4369440841929649E-4</v>
      </c>
    </row>
    <row r="1805" spans="1:3" ht="13" x14ac:dyDescent="0.15">
      <c r="A1805" s="3">
        <f ca="1">IFERROR(__xludf.DUMMYFUNCTION("""COMPUTED_VALUE"""),43054.6666666666)</f>
        <v>43054.666666666599</v>
      </c>
      <c r="B1805" s="4">
        <f ca="1">IFERROR(__xludf.DUMMYFUNCTION("""COMPUTED_VALUE"""),1020.91)</f>
        <v>1020.91</v>
      </c>
      <c r="C1805" s="5">
        <f t="shared" ca="1" si="0"/>
        <v>-4.9733603250428542E-3</v>
      </c>
    </row>
    <row r="1806" spans="1:3" ht="13" x14ac:dyDescent="0.15">
      <c r="A1806" s="3">
        <f ca="1">IFERROR(__xludf.DUMMYFUNCTION("""COMPUTED_VALUE"""),43055.6666666666)</f>
        <v>43055.666666666599</v>
      </c>
      <c r="B1806" s="4">
        <f ca="1">IFERROR(__xludf.DUMMYFUNCTION("""COMPUTED_VALUE"""),1032.5)</f>
        <v>1032.5</v>
      </c>
      <c r="C1806" s="5">
        <f t="shared" ca="1" si="0"/>
        <v>1.1288659429515952E-2</v>
      </c>
    </row>
    <row r="1807" spans="1:3" ht="13" x14ac:dyDescent="0.15">
      <c r="A1807" s="3">
        <f ca="1">IFERROR(__xludf.DUMMYFUNCTION("""COMPUTED_VALUE"""),43056.6666666666)</f>
        <v>43056.666666666599</v>
      </c>
      <c r="B1807" s="4">
        <f ca="1">IFERROR(__xludf.DUMMYFUNCTION("""COMPUTED_VALUE"""),1019.09)</f>
        <v>1019.09</v>
      </c>
      <c r="C1807" s="5">
        <f t="shared" ca="1" si="0"/>
        <v>-1.3072973628410806E-2</v>
      </c>
    </row>
    <row r="1808" spans="1:3" ht="13" x14ac:dyDescent="0.15">
      <c r="A1808" s="3">
        <f ca="1">IFERROR(__xludf.DUMMYFUNCTION("""COMPUTED_VALUE"""),43059.6666666666)</f>
        <v>43059.666666666599</v>
      </c>
      <c r="B1808" s="4">
        <f ca="1">IFERROR(__xludf.DUMMYFUNCTION("""COMPUTED_VALUE"""),1018.38)</f>
        <v>1018.38</v>
      </c>
      <c r="C1808" s="5">
        <f t="shared" ca="1" si="0"/>
        <v>-6.969428052820641E-4</v>
      </c>
    </row>
    <row r="1809" spans="1:3" ht="13" x14ac:dyDescent="0.15">
      <c r="A1809" s="3">
        <f ca="1">IFERROR(__xludf.DUMMYFUNCTION("""COMPUTED_VALUE"""),43060.6666666666)</f>
        <v>43060.666666666599</v>
      </c>
      <c r="B1809" s="4">
        <f ca="1">IFERROR(__xludf.DUMMYFUNCTION("""COMPUTED_VALUE"""),1034.49)</f>
        <v>1034.49</v>
      </c>
      <c r="C1809" s="5">
        <f t="shared" ca="1" si="0"/>
        <v>1.5695422231823502E-2</v>
      </c>
    </row>
    <row r="1810" spans="1:3" ht="13" x14ac:dyDescent="0.15">
      <c r="A1810" s="3">
        <f ca="1">IFERROR(__xludf.DUMMYFUNCTION("""COMPUTED_VALUE"""),43061.6666666666)</f>
        <v>43061.666666666599</v>
      </c>
      <c r="B1810" s="4">
        <f ca="1">IFERROR(__xludf.DUMMYFUNCTION("""COMPUTED_VALUE"""),1035.96)</f>
        <v>1035.96</v>
      </c>
      <c r="C1810" s="5">
        <f t="shared" ca="1" si="0"/>
        <v>1.4199814021131855E-3</v>
      </c>
    </row>
    <row r="1811" spans="1:3" ht="13" x14ac:dyDescent="0.15">
      <c r="A1811" s="3">
        <f ca="1">IFERROR(__xludf.DUMMYFUNCTION("""COMPUTED_VALUE"""),43063.5416666666)</f>
        <v>43063.541666666599</v>
      </c>
      <c r="B1811" s="4">
        <f ca="1">IFERROR(__xludf.DUMMYFUNCTION("""COMPUTED_VALUE"""),1040.61)</f>
        <v>1040.6099999999999</v>
      </c>
      <c r="C1811" s="5">
        <f t="shared" ca="1" si="0"/>
        <v>4.4785466150738208E-3</v>
      </c>
    </row>
    <row r="1812" spans="1:3" ht="13" x14ac:dyDescent="0.15">
      <c r="A1812" s="3">
        <f ca="1">IFERROR(__xludf.DUMMYFUNCTION("""COMPUTED_VALUE"""),43066.6666666666)</f>
        <v>43066.666666666599</v>
      </c>
      <c r="B1812" s="4">
        <f ca="1">IFERROR(__xludf.DUMMYFUNCTION("""COMPUTED_VALUE"""),1054.21)</f>
        <v>1054.21</v>
      </c>
      <c r="C1812" s="5">
        <f t="shared" ca="1" si="0"/>
        <v>1.2984591591670034E-2</v>
      </c>
    </row>
    <row r="1813" spans="1:3" ht="13" x14ac:dyDescent="0.15">
      <c r="A1813" s="3">
        <f ca="1">IFERROR(__xludf.DUMMYFUNCTION("""COMPUTED_VALUE"""),43067.6666666666)</f>
        <v>43067.666666666599</v>
      </c>
      <c r="B1813" s="4">
        <f ca="1">IFERROR(__xludf.DUMMYFUNCTION("""COMPUTED_VALUE"""),1047.41)</f>
        <v>1047.4100000000001</v>
      </c>
      <c r="C1813" s="5">
        <f t="shared" ca="1" si="0"/>
        <v>-6.4712209915341636E-3</v>
      </c>
    </row>
    <row r="1814" spans="1:3" ht="13" x14ac:dyDescent="0.15">
      <c r="A1814" s="3">
        <f ca="1">IFERROR(__xludf.DUMMYFUNCTION("""COMPUTED_VALUE"""),43068.6666666666)</f>
        <v>43068.666666666599</v>
      </c>
      <c r="B1814" s="4">
        <f ca="1">IFERROR(__xludf.DUMMYFUNCTION("""COMPUTED_VALUE"""),1021.66)</f>
        <v>1021.66</v>
      </c>
      <c r="C1814" s="5">
        <f t="shared" ca="1" si="0"/>
        <v>-2.489169485521037E-2</v>
      </c>
    </row>
    <row r="1815" spans="1:3" ht="13" x14ac:dyDescent="0.15">
      <c r="A1815" s="3">
        <f ca="1">IFERROR(__xludf.DUMMYFUNCTION("""COMPUTED_VALUE"""),43069.6666666666)</f>
        <v>43069.666666666599</v>
      </c>
      <c r="B1815" s="4">
        <f ca="1">IFERROR(__xludf.DUMMYFUNCTION("""COMPUTED_VALUE"""),1021.41)</f>
        <v>1021.41</v>
      </c>
      <c r="C1815" s="5">
        <f t="shared" ca="1" si="0"/>
        <v>-2.4472974616414805E-4</v>
      </c>
    </row>
    <row r="1816" spans="1:3" ht="13" x14ac:dyDescent="0.15">
      <c r="A1816" s="3">
        <f ca="1">IFERROR(__xludf.DUMMYFUNCTION("""COMPUTED_VALUE"""),43070.6666666666)</f>
        <v>43070.666666666599</v>
      </c>
      <c r="B1816" s="4">
        <f ca="1">IFERROR(__xludf.DUMMYFUNCTION("""COMPUTED_VALUE"""),1010.17)</f>
        <v>1010.17</v>
      </c>
      <c r="C1816" s="5">
        <f t="shared" ca="1" si="0"/>
        <v>-1.1065392145967237E-2</v>
      </c>
    </row>
    <row r="1817" spans="1:3" ht="13" x14ac:dyDescent="0.15">
      <c r="A1817" s="3">
        <f ca="1">IFERROR(__xludf.DUMMYFUNCTION("""COMPUTED_VALUE"""),43073.6666666666)</f>
        <v>43073.666666666599</v>
      </c>
      <c r="B1817" s="4">
        <f ca="1">IFERROR(__xludf.DUMMYFUNCTION("""COMPUTED_VALUE"""),998.68)</f>
        <v>998.68</v>
      </c>
      <c r="C1817" s="5">
        <f t="shared" ca="1" si="0"/>
        <v>-1.1439505488578456E-2</v>
      </c>
    </row>
    <row r="1818" spans="1:3" ht="13" x14ac:dyDescent="0.15">
      <c r="A1818" s="3">
        <f ca="1">IFERROR(__xludf.DUMMYFUNCTION("""COMPUTED_VALUE"""),43074.6666666666)</f>
        <v>43074.666666666599</v>
      </c>
      <c r="B1818" s="4">
        <f ca="1">IFERROR(__xludf.DUMMYFUNCTION("""COMPUTED_VALUE"""),1005.15)</f>
        <v>1005.15</v>
      </c>
      <c r="C1818" s="5">
        <f t="shared" ca="1" si="0"/>
        <v>6.4576560725681138E-3</v>
      </c>
    </row>
    <row r="1819" spans="1:3" ht="13" x14ac:dyDescent="0.15">
      <c r="A1819" s="3">
        <f ca="1">IFERROR(__xludf.DUMMYFUNCTION("""COMPUTED_VALUE"""),43075.6666666666)</f>
        <v>43075.666666666599</v>
      </c>
      <c r="B1819" s="4">
        <f ca="1">IFERROR(__xludf.DUMMYFUNCTION("""COMPUTED_VALUE"""),1018.38)</f>
        <v>1018.38</v>
      </c>
      <c r="C1819" s="5">
        <f t="shared" ca="1" si="0"/>
        <v>1.3076345314205691E-2</v>
      </c>
    </row>
    <row r="1820" spans="1:3" ht="13" x14ac:dyDescent="0.15">
      <c r="A1820" s="3">
        <f ca="1">IFERROR(__xludf.DUMMYFUNCTION("""COMPUTED_VALUE"""),43076.6666666666)</f>
        <v>43076.666666666599</v>
      </c>
      <c r="B1820" s="4">
        <f ca="1">IFERROR(__xludf.DUMMYFUNCTION("""COMPUTED_VALUE"""),1030.93)</f>
        <v>1030.93</v>
      </c>
      <c r="C1820" s="5">
        <f t="shared" ca="1" si="0"/>
        <v>1.22481780631456E-2</v>
      </c>
    </row>
    <row r="1821" spans="1:3" ht="13" x14ac:dyDescent="0.15">
      <c r="A1821" s="3">
        <f ca="1">IFERROR(__xludf.DUMMYFUNCTION("""COMPUTED_VALUE"""),43077.6666666666)</f>
        <v>43077.666666666599</v>
      </c>
      <c r="B1821" s="4">
        <f ca="1">IFERROR(__xludf.DUMMYFUNCTION("""COMPUTED_VALUE"""),1037.05)</f>
        <v>1037.05</v>
      </c>
      <c r="C1821" s="5">
        <f t="shared" ca="1" si="0"/>
        <v>5.9188366102468247E-3</v>
      </c>
    </row>
    <row r="1822" spans="1:3" ht="13" x14ac:dyDescent="0.15">
      <c r="A1822" s="3">
        <f ca="1">IFERROR(__xludf.DUMMYFUNCTION("""COMPUTED_VALUE"""),43080.6666666666)</f>
        <v>43080.666666666599</v>
      </c>
      <c r="B1822" s="4">
        <f ca="1">IFERROR(__xludf.DUMMYFUNCTION("""COMPUTED_VALUE"""),1041.1)</f>
        <v>1041.0999999999999</v>
      </c>
      <c r="C1822" s="5">
        <f t="shared" ca="1" si="0"/>
        <v>3.8977024058196451E-3</v>
      </c>
    </row>
    <row r="1823" spans="1:3" ht="13" x14ac:dyDescent="0.15">
      <c r="A1823" s="3">
        <f ca="1">IFERROR(__xludf.DUMMYFUNCTION("""COMPUTED_VALUE"""),43081.6666666666)</f>
        <v>43081.666666666599</v>
      </c>
      <c r="B1823" s="4">
        <f ca="1">IFERROR(__xludf.DUMMYFUNCTION("""COMPUTED_VALUE"""),1040.48)</f>
        <v>1040.48</v>
      </c>
      <c r="C1823" s="5">
        <f t="shared" ca="1" si="0"/>
        <v>-5.9570135986547002E-4</v>
      </c>
    </row>
    <row r="1824" spans="1:3" ht="13" x14ac:dyDescent="0.15">
      <c r="A1824" s="3">
        <f ca="1">IFERROR(__xludf.DUMMYFUNCTION("""COMPUTED_VALUE"""),43082.6666666666)</f>
        <v>43082.666666666599</v>
      </c>
      <c r="B1824" s="4">
        <f ca="1">IFERROR(__xludf.DUMMYFUNCTION("""COMPUTED_VALUE"""),1040.61)</f>
        <v>1040.6099999999999</v>
      </c>
      <c r="C1824" s="5">
        <f t="shared" ca="1" si="0"/>
        <v>1.2493452966367237E-4</v>
      </c>
    </row>
    <row r="1825" spans="1:3" ht="13" x14ac:dyDescent="0.15">
      <c r="A1825" s="3">
        <f ca="1">IFERROR(__xludf.DUMMYFUNCTION("""COMPUTED_VALUE"""),43083.6666666666)</f>
        <v>43083.666666666599</v>
      </c>
      <c r="B1825" s="4">
        <f ca="1">IFERROR(__xludf.DUMMYFUNCTION("""COMPUTED_VALUE"""),1049.15)</f>
        <v>1049.1500000000001</v>
      </c>
      <c r="C1825" s="5">
        <f t="shared" ca="1" si="0"/>
        <v>8.1732328501986432E-3</v>
      </c>
    </row>
    <row r="1826" spans="1:3" ht="13" x14ac:dyDescent="0.15">
      <c r="A1826" s="3">
        <f ca="1">IFERROR(__xludf.DUMMYFUNCTION("""COMPUTED_VALUE"""),43084.6666666666)</f>
        <v>43084.666666666599</v>
      </c>
      <c r="B1826" s="4">
        <f ca="1">IFERROR(__xludf.DUMMYFUNCTION("""COMPUTED_VALUE"""),1064.19)</f>
        <v>1064.19</v>
      </c>
      <c r="C1826" s="5">
        <f t="shared" ca="1" si="0"/>
        <v>1.4233633887477486E-2</v>
      </c>
    </row>
    <row r="1827" spans="1:3" ht="13" x14ac:dyDescent="0.15">
      <c r="A1827" s="3">
        <f ca="1">IFERROR(__xludf.DUMMYFUNCTION("""COMPUTED_VALUE"""),43087.6666666666)</f>
        <v>43087.666666666599</v>
      </c>
      <c r="B1827" s="4">
        <f ca="1">IFERROR(__xludf.DUMMYFUNCTION("""COMPUTED_VALUE"""),1077.14)</f>
        <v>1077.1400000000001</v>
      </c>
      <c r="C1827" s="5">
        <f t="shared" ca="1" si="0"/>
        <v>1.2095434035095229E-2</v>
      </c>
    </row>
    <row r="1828" spans="1:3" ht="13" x14ac:dyDescent="0.15">
      <c r="A1828" s="3">
        <f ca="1">IFERROR(__xludf.DUMMYFUNCTION("""COMPUTED_VALUE"""),43088.6666666666)</f>
        <v>43088.666666666599</v>
      </c>
      <c r="B1828" s="4">
        <f ca="1">IFERROR(__xludf.DUMMYFUNCTION("""COMPUTED_VALUE"""),1070.68)</f>
        <v>1070.68</v>
      </c>
      <c r="C1828" s="5">
        <f t="shared" ca="1" si="0"/>
        <v>-6.0154198021512501E-3</v>
      </c>
    </row>
    <row r="1829" spans="1:3" ht="13" x14ac:dyDescent="0.15">
      <c r="A1829" s="3">
        <f ca="1">IFERROR(__xludf.DUMMYFUNCTION("""COMPUTED_VALUE"""),43089.6666666666)</f>
        <v>43089.666666666599</v>
      </c>
      <c r="B1829" s="4">
        <f ca="1">IFERROR(__xludf.DUMMYFUNCTION("""COMPUTED_VALUE"""),1064.95)</f>
        <v>1064.95</v>
      </c>
      <c r="C1829" s="5">
        <f t="shared" ca="1" si="0"/>
        <v>-5.3661109365160274E-3</v>
      </c>
    </row>
    <row r="1830" spans="1:3" ht="13" x14ac:dyDescent="0.15">
      <c r="A1830" s="3">
        <f ca="1">IFERROR(__xludf.DUMMYFUNCTION("""COMPUTED_VALUE"""),43090.6666666666)</f>
        <v>43090.666666666599</v>
      </c>
      <c r="B1830" s="4">
        <f ca="1">IFERROR(__xludf.DUMMYFUNCTION("""COMPUTED_VALUE"""),1063.63)</f>
        <v>1063.6300000000001</v>
      </c>
      <c r="C1830" s="5">
        <f t="shared" ca="1" si="0"/>
        <v>-1.2402636210129398E-3</v>
      </c>
    </row>
    <row r="1831" spans="1:3" ht="13" x14ac:dyDescent="0.15">
      <c r="A1831" s="3">
        <f ca="1">IFERROR(__xludf.DUMMYFUNCTION("""COMPUTED_VALUE"""),43091.6666666666)</f>
        <v>43091.666666666599</v>
      </c>
      <c r="B1831" s="4">
        <f ca="1">IFERROR(__xludf.DUMMYFUNCTION("""COMPUTED_VALUE"""),1060.12)</f>
        <v>1060.1199999999999</v>
      </c>
      <c r="C1831" s="5">
        <f t="shared" ca="1" si="0"/>
        <v>-3.3054768178047479E-3</v>
      </c>
    </row>
    <row r="1832" spans="1:3" ht="13" x14ac:dyDescent="0.15">
      <c r="A1832" s="3">
        <f ca="1">IFERROR(__xludf.DUMMYFUNCTION("""COMPUTED_VALUE"""),43095.6666666666)</f>
        <v>43095.666666666599</v>
      </c>
      <c r="B1832" s="4">
        <f ca="1">IFERROR(__xludf.DUMMYFUNCTION("""COMPUTED_VALUE"""),1056.74)</f>
        <v>1056.74</v>
      </c>
      <c r="C1832" s="5">
        <f t="shared" ca="1" si="0"/>
        <v>-3.1934118197726362E-3</v>
      </c>
    </row>
    <row r="1833" spans="1:3" ht="13" x14ac:dyDescent="0.15">
      <c r="A1833" s="3">
        <f ca="1">IFERROR(__xludf.DUMMYFUNCTION("""COMPUTED_VALUE"""),43096.6666666666)</f>
        <v>43096.666666666599</v>
      </c>
      <c r="B1833" s="4">
        <f ca="1">IFERROR(__xludf.DUMMYFUNCTION("""COMPUTED_VALUE"""),1049.37)</f>
        <v>1049.3699999999999</v>
      </c>
      <c r="C1833" s="5">
        <f t="shared" ca="1" si="0"/>
        <v>-6.9987133464824974E-3</v>
      </c>
    </row>
    <row r="1834" spans="1:3" ht="13" x14ac:dyDescent="0.15">
      <c r="A1834" s="3">
        <f ca="1">IFERROR(__xludf.DUMMYFUNCTION("""COMPUTED_VALUE"""),43097.6666666666)</f>
        <v>43097.666666666599</v>
      </c>
      <c r="B1834" s="4">
        <f ca="1">IFERROR(__xludf.DUMMYFUNCTION("""COMPUTED_VALUE"""),1048.14)</f>
        <v>1048.1400000000001</v>
      </c>
      <c r="C1834" s="5">
        <f t="shared" ca="1" si="0"/>
        <v>-1.1728193343431331E-3</v>
      </c>
    </row>
    <row r="1835" spans="1:3" ht="13" x14ac:dyDescent="0.15">
      <c r="A1835" s="3">
        <f ca="1">IFERROR(__xludf.DUMMYFUNCTION("""COMPUTED_VALUE"""),43098.6666666666)</f>
        <v>43098.666666666599</v>
      </c>
      <c r="B1835" s="4">
        <f ca="1">IFERROR(__xludf.DUMMYFUNCTION("""COMPUTED_VALUE"""),1046.4)</f>
        <v>1046.4000000000001</v>
      </c>
      <c r="C1835" s="5">
        <f t="shared" ca="1" si="0"/>
        <v>-1.6614630422590803E-3</v>
      </c>
    </row>
    <row r="1836" spans="1:3" ht="13" x14ac:dyDescent="0.15">
      <c r="A1836" s="3">
        <f ca="1">IFERROR(__xludf.DUMMYFUNCTION("""COMPUTED_VALUE"""),43102.6666666666)</f>
        <v>43102.666666666599</v>
      </c>
      <c r="B1836" s="4">
        <f ca="1">IFERROR(__xludf.DUMMYFUNCTION("""COMPUTED_VALUE"""),1065)</f>
        <v>1065</v>
      </c>
      <c r="C1836" s="5">
        <f t="shared" ca="1" si="0"/>
        <v>1.7619097440591251E-2</v>
      </c>
    </row>
    <row r="1837" spans="1:3" ht="13" x14ac:dyDescent="0.15">
      <c r="A1837" s="3">
        <f ca="1">IFERROR(__xludf.DUMMYFUNCTION("""COMPUTED_VALUE"""),43103.6666666666)</f>
        <v>43103.666666666599</v>
      </c>
      <c r="B1837" s="4">
        <f ca="1">IFERROR(__xludf.DUMMYFUNCTION("""COMPUTED_VALUE"""),1082.48)</f>
        <v>1082.48</v>
      </c>
      <c r="C1837" s="5">
        <f t="shared" ca="1" si="0"/>
        <v>1.627990581186331E-2</v>
      </c>
    </row>
    <row r="1838" spans="1:3" ht="13" x14ac:dyDescent="0.15">
      <c r="A1838" s="3">
        <f ca="1">IFERROR(__xludf.DUMMYFUNCTION("""COMPUTED_VALUE"""),43104.6666666666)</f>
        <v>43104.666666666599</v>
      </c>
      <c r="B1838" s="4">
        <f ca="1">IFERROR(__xludf.DUMMYFUNCTION("""COMPUTED_VALUE"""),1086.4)</f>
        <v>1086.4000000000001</v>
      </c>
      <c r="C1838" s="5">
        <f t="shared" ca="1" si="0"/>
        <v>3.614772849042951E-3</v>
      </c>
    </row>
    <row r="1839" spans="1:3" ht="13" x14ac:dyDescent="0.15">
      <c r="A1839" s="3">
        <f ca="1">IFERROR(__xludf.DUMMYFUNCTION("""COMPUTED_VALUE"""),43105.6666666666)</f>
        <v>43105.666666666599</v>
      </c>
      <c r="B1839" s="4">
        <f ca="1">IFERROR(__xludf.DUMMYFUNCTION("""COMPUTED_VALUE"""),1102.23)</f>
        <v>1102.23</v>
      </c>
      <c r="C1839" s="5">
        <f t="shared" ca="1" si="0"/>
        <v>1.4465922564983519E-2</v>
      </c>
    </row>
    <row r="1840" spans="1:3" ht="13" x14ac:dyDescent="0.15">
      <c r="A1840" s="3">
        <f ca="1">IFERROR(__xludf.DUMMYFUNCTION("""COMPUTED_VALUE"""),43108.6666666666)</f>
        <v>43108.666666666599</v>
      </c>
      <c r="B1840" s="4">
        <f ca="1">IFERROR(__xludf.DUMMYFUNCTION("""COMPUTED_VALUE"""),1106.94)</f>
        <v>1106.94</v>
      </c>
      <c r="C1840" s="5">
        <f t="shared" ca="1" si="0"/>
        <v>4.2640513283137768E-3</v>
      </c>
    </row>
    <row r="1841" spans="1:3" ht="13" x14ac:dyDescent="0.15">
      <c r="A1841" s="3">
        <f ca="1">IFERROR(__xludf.DUMMYFUNCTION("""COMPUTED_VALUE"""),43109.6666666666)</f>
        <v>43109.666666666599</v>
      </c>
      <c r="B1841" s="4">
        <f ca="1">IFERROR(__xludf.DUMMYFUNCTION("""COMPUTED_VALUE"""),1106.26)</f>
        <v>1106.26</v>
      </c>
      <c r="C1841" s="5">
        <f t="shared" ca="1" si="0"/>
        <v>-6.1449486842368598E-4</v>
      </c>
    </row>
    <row r="1842" spans="1:3" ht="13" x14ac:dyDescent="0.15">
      <c r="A1842" s="3">
        <f ca="1">IFERROR(__xludf.DUMMYFUNCTION("""COMPUTED_VALUE"""),43110.6666666666)</f>
        <v>43110.666666666599</v>
      </c>
      <c r="B1842" s="4">
        <f ca="1">IFERROR(__xludf.DUMMYFUNCTION("""COMPUTED_VALUE"""),1102.61)</f>
        <v>1102.6099999999999</v>
      </c>
      <c r="C1842" s="5">
        <f t="shared" ca="1" si="0"/>
        <v>-3.3048602426929679E-3</v>
      </c>
    </row>
    <row r="1843" spans="1:3" ht="13" x14ac:dyDescent="0.15">
      <c r="A1843" s="3">
        <f ca="1">IFERROR(__xludf.DUMMYFUNCTION("""COMPUTED_VALUE"""),43111.6666666666)</f>
        <v>43111.666666666599</v>
      </c>
      <c r="B1843" s="4">
        <f ca="1">IFERROR(__xludf.DUMMYFUNCTION("""COMPUTED_VALUE"""),1105.52)</f>
        <v>1105.52</v>
      </c>
      <c r="C1843" s="5">
        <f t="shared" ca="1" si="0"/>
        <v>2.6357159086168149E-3</v>
      </c>
    </row>
    <row r="1844" spans="1:3" ht="13" x14ac:dyDescent="0.15">
      <c r="A1844" s="3">
        <f ca="1">IFERROR(__xludf.DUMMYFUNCTION("""COMPUTED_VALUE"""),43112.6666666666)</f>
        <v>43112.666666666599</v>
      </c>
      <c r="B1844" s="4">
        <f ca="1">IFERROR(__xludf.DUMMYFUNCTION("""COMPUTED_VALUE"""),1122.26)</f>
        <v>1122.26</v>
      </c>
      <c r="C1844" s="5">
        <f t="shared" ca="1" si="0"/>
        <v>1.5028696797640378E-2</v>
      </c>
    </row>
    <row r="1845" spans="1:3" ht="13" x14ac:dyDescent="0.15">
      <c r="A1845" s="3">
        <f ca="1">IFERROR(__xludf.DUMMYFUNCTION("""COMPUTED_VALUE"""),43116.6666666666)</f>
        <v>43116.666666666599</v>
      </c>
      <c r="B1845" s="4">
        <f ca="1">IFERROR(__xludf.DUMMYFUNCTION("""COMPUTED_VALUE"""),1121.76)</f>
        <v>1121.76</v>
      </c>
      <c r="C1845" s="5">
        <f t="shared" ca="1" si="0"/>
        <v>-4.4562883421211388E-4</v>
      </c>
    </row>
    <row r="1846" spans="1:3" ht="13" x14ac:dyDescent="0.15">
      <c r="A1846" s="3">
        <f ca="1">IFERROR(__xludf.DUMMYFUNCTION("""COMPUTED_VALUE"""),43117.6666666666)</f>
        <v>43117.666666666599</v>
      </c>
      <c r="B1846" s="4">
        <f ca="1">IFERROR(__xludf.DUMMYFUNCTION("""COMPUTED_VALUE"""),1131.98)</f>
        <v>1131.98</v>
      </c>
      <c r="C1846" s="5">
        <f t="shared" ca="1" si="0"/>
        <v>9.0694313038695712E-3</v>
      </c>
    </row>
    <row r="1847" spans="1:3" ht="13" x14ac:dyDescent="0.15">
      <c r="A1847" s="3">
        <f ca="1">IFERROR(__xludf.DUMMYFUNCTION("""COMPUTED_VALUE"""),43118.6666666666)</f>
        <v>43118.666666666599</v>
      </c>
      <c r="B1847" s="4">
        <f ca="1">IFERROR(__xludf.DUMMYFUNCTION("""COMPUTED_VALUE"""),1129.79)</f>
        <v>1129.79</v>
      </c>
      <c r="C1847" s="5">
        <f t="shared" ca="1" si="0"/>
        <v>-1.936537034629625E-3</v>
      </c>
    </row>
    <row r="1848" spans="1:3" ht="13" x14ac:dyDescent="0.15">
      <c r="A1848" s="3">
        <f ca="1">IFERROR(__xludf.DUMMYFUNCTION("""COMPUTED_VALUE"""),43119.6666666666)</f>
        <v>43119.666666666599</v>
      </c>
      <c r="B1848" s="4">
        <f ca="1">IFERROR(__xludf.DUMMYFUNCTION("""COMPUTED_VALUE"""),1137.51)</f>
        <v>1137.51</v>
      </c>
      <c r="C1848" s="5">
        <f t="shared" ca="1" si="0"/>
        <v>6.8098882673567947E-3</v>
      </c>
    </row>
    <row r="1849" spans="1:3" ht="13" x14ac:dyDescent="0.15">
      <c r="A1849" s="3">
        <f ca="1">IFERROR(__xludf.DUMMYFUNCTION("""COMPUTED_VALUE"""),43122.6666666666)</f>
        <v>43122.666666666599</v>
      </c>
      <c r="B1849" s="4">
        <f ca="1">IFERROR(__xludf.DUMMYFUNCTION("""COMPUTED_VALUE"""),1155.81)</f>
        <v>1155.81</v>
      </c>
      <c r="C1849" s="5">
        <f t="shared" ca="1" si="0"/>
        <v>1.5959733866914655E-2</v>
      </c>
    </row>
    <row r="1850" spans="1:3" ht="13" x14ac:dyDescent="0.15">
      <c r="A1850" s="3">
        <f ca="1">IFERROR(__xludf.DUMMYFUNCTION("""COMPUTED_VALUE"""),43123.6666666666)</f>
        <v>43123.666666666599</v>
      </c>
      <c r="B1850" s="4">
        <f ca="1">IFERROR(__xludf.DUMMYFUNCTION("""COMPUTED_VALUE"""),1169.97)</f>
        <v>1169.97</v>
      </c>
      <c r="C1850" s="5">
        <f t="shared" ca="1" si="0"/>
        <v>1.2176710575255285E-2</v>
      </c>
    </row>
    <row r="1851" spans="1:3" ht="13" x14ac:dyDescent="0.15">
      <c r="A1851" s="3">
        <f ca="1">IFERROR(__xludf.DUMMYFUNCTION("""COMPUTED_VALUE"""),43124.6666666666)</f>
        <v>43124.666666666599</v>
      </c>
      <c r="B1851" s="4">
        <f ca="1">IFERROR(__xludf.DUMMYFUNCTION("""COMPUTED_VALUE"""),1164.24)</f>
        <v>1164.24</v>
      </c>
      <c r="C1851" s="5">
        <f t="shared" ca="1" si="0"/>
        <v>-4.9095938323533324E-3</v>
      </c>
    </row>
    <row r="1852" spans="1:3" ht="13" x14ac:dyDescent="0.15">
      <c r="A1852" s="3">
        <f ca="1">IFERROR(__xludf.DUMMYFUNCTION("""COMPUTED_VALUE"""),43125.6666666666)</f>
        <v>43125.666666666599</v>
      </c>
      <c r="B1852" s="4">
        <f ca="1">IFERROR(__xludf.DUMMYFUNCTION("""COMPUTED_VALUE"""),1170.37)</f>
        <v>1170.3699999999999</v>
      </c>
      <c r="C1852" s="5">
        <f t="shared" ca="1" si="0"/>
        <v>5.2514245098571636E-3</v>
      </c>
    </row>
    <row r="1853" spans="1:3" ht="13" x14ac:dyDescent="0.15">
      <c r="A1853" s="3">
        <f ca="1">IFERROR(__xludf.DUMMYFUNCTION("""COMPUTED_VALUE"""),43126.6666666666)</f>
        <v>43126.666666666599</v>
      </c>
      <c r="B1853" s="4">
        <f ca="1">IFERROR(__xludf.DUMMYFUNCTION("""COMPUTED_VALUE"""),1175.84)</f>
        <v>1175.8399999999999</v>
      </c>
      <c r="C1853" s="5">
        <f t="shared" ca="1" si="0"/>
        <v>4.6628476656329137E-3</v>
      </c>
    </row>
    <row r="1854" spans="1:3" ht="13" x14ac:dyDescent="0.15">
      <c r="A1854" s="3">
        <f ca="1">IFERROR(__xludf.DUMMYFUNCTION("""COMPUTED_VALUE"""),43129.6666666666)</f>
        <v>43129.666666666599</v>
      </c>
      <c r="B1854" s="4">
        <f ca="1">IFERROR(__xludf.DUMMYFUNCTION("""COMPUTED_VALUE"""),1175.58)</f>
        <v>1175.58</v>
      </c>
      <c r="C1854" s="5">
        <f t="shared" ca="1" si="0"/>
        <v>-2.2114296983062392E-4</v>
      </c>
    </row>
    <row r="1855" spans="1:3" ht="13" x14ac:dyDescent="0.15">
      <c r="A1855" s="3">
        <f ca="1">IFERROR(__xludf.DUMMYFUNCTION("""COMPUTED_VALUE"""),43130.6666666666)</f>
        <v>43130.666666666599</v>
      </c>
      <c r="B1855" s="4">
        <f ca="1">IFERROR(__xludf.DUMMYFUNCTION("""COMPUTED_VALUE"""),1163.69)</f>
        <v>1163.69</v>
      </c>
      <c r="C1855" s="5">
        <f t="shared" ca="1" si="0"/>
        <v>-1.0165652013676611E-2</v>
      </c>
    </row>
    <row r="1856" spans="1:3" ht="13" x14ac:dyDescent="0.15">
      <c r="A1856" s="3">
        <f ca="1">IFERROR(__xludf.DUMMYFUNCTION("""COMPUTED_VALUE"""),43131.6666666666)</f>
        <v>43131.666666666599</v>
      </c>
      <c r="B1856" s="4">
        <f ca="1">IFERROR(__xludf.DUMMYFUNCTION("""COMPUTED_VALUE"""),1169.94)</f>
        <v>1169.94</v>
      </c>
      <c r="C1856" s="5">
        <f t="shared" ca="1" si="0"/>
        <v>5.3564746284966869E-3</v>
      </c>
    </row>
    <row r="1857" spans="1:3" ht="13" x14ac:dyDescent="0.15">
      <c r="A1857" s="3">
        <f ca="1">IFERROR(__xludf.DUMMYFUNCTION("""COMPUTED_VALUE"""),43132.6666666666)</f>
        <v>43132.666666666599</v>
      </c>
      <c r="B1857" s="4">
        <f ca="1">IFERROR(__xludf.DUMMYFUNCTION("""COMPUTED_VALUE"""),1167.7)</f>
        <v>1167.7</v>
      </c>
      <c r="C1857" s="5">
        <f t="shared" ca="1" si="0"/>
        <v>-1.9164633438812416E-3</v>
      </c>
    </row>
    <row r="1858" spans="1:3" ht="13" x14ac:dyDescent="0.15">
      <c r="A1858" s="3">
        <f ca="1">IFERROR(__xludf.DUMMYFUNCTION("""COMPUTED_VALUE"""),43133.6666666666)</f>
        <v>43133.666666666599</v>
      </c>
      <c r="B1858" s="4">
        <f ca="1">IFERROR(__xludf.DUMMYFUNCTION("""COMPUTED_VALUE"""),1111.9)</f>
        <v>1111.9000000000001</v>
      </c>
      <c r="C1858" s="5">
        <f t="shared" ca="1" si="0"/>
        <v>-4.8965738372465692E-2</v>
      </c>
    </row>
    <row r="1859" spans="1:3" ht="13" x14ac:dyDescent="0.15">
      <c r="A1859" s="3">
        <f ca="1">IFERROR(__xludf.DUMMYFUNCTION("""COMPUTED_VALUE"""),43136.6666666666)</f>
        <v>43136.666666666599</v>
      </c>
      <c r="B1859" s="4">
        <f ca="1">IFERROR(__xludf.DUMMYFUNCTION("""COMPUTED_VALUE"""),1055.8)</f>
        <v>1055.8</v>
      </c>
      <c r="C1859" s="5">
        <f t="shared" ca="1" si="0"/>
        <v>-5.1771490319687766E-2</v>
      </c>
    </row>
    <row r="1860" spans="1:3" ht="13" x14ac:dyDescent="0.15">
      <c r="A1860" s="3">
        <f ca="1">IFERROR(__xludf.DUMMYFUNCTION("""COMPUTED_VALUE"""),43137.6666666666)</f>
        <v>43137.666666666599</v>
      </c>
      <c r="B1860" s="4">
        <f ca="1">IFERROR(__xludf.DUMMYFUNCTION("""COMPUTED_VALUE"""),1080.6)</f>
        <v>1080.5999999999999</v>
      </c>
      <c r="C1860" s="5">
        <f t="shared" ca="1" si="0"/>
        <v>2.3217669020449569E-2</v>
      </c>
    </row>
    <row r="1861" spans="1:3" ht="13" x14ac:dyDescent="0.15">
      <c r="A1861" s="3">
        <f ca="1">IFERROR(__xludf.DUMMYFUNCTION("""COMPUTED_VALUE"""),43138.6666666666)</f>
        <v>43138.666666666599</v>
      </c>
      <c r="B1861" s="4">
        <f ca="1">IFERROR(__xludf.DUMMYFUNCTION("""COMPUTED_VALUE"""),1048.58)</f>
        <v>1048.58</v>
      </c>
      <c r="C1861" s="5">
        <f t="shared" ca="1" si="0"/>
        <v>-3.0079574503206568E-2</v>
      </c>
    </row>
    <row r="1862" spans="1:3" ht="13" x14ac:dyDescent="0.15">
      <c r="A1862" s="3">
        <f ca="1">IFERROR(__xludf.DUMMYFUNCTION("""COMPUTED_VALUE"""),43139.6666666666)</f>
        <v>43139.666666666599</v>
      </c>
      <c r="B1862" s="4">
        <f ca="1">IFERROR(__xludf.DUMMYFUNCTION("""COMPUTED_VALUE"""),1001.52)</f>
        <v>1001.52</v>
      </c>
      <c r="C1862" s="5">
        <f t="shared" ca="1" si="0"/>
        <v>-4.5918021955351912E-2</v>
      </c>
    </row>
    <row r="1863" spans="1:3" ht="13" x14ac:dyDescent="0.15">
      <c r="A1863" s="3">
        <f ca="1">IFERROR(__xludf.DUMMYFUNCTION("""COMPUTED_VALUE"""),43140.6666666666)</f>
        <v>43140.666666666599</v>
      </c>
      <c r="B1863" s="4">
        <f ca="1">IFERROR(__xludf.DUMMYFUNCTION("""COMPUTED_VALUE"""),1037.78)</f>
        <v>1037.78</v>
      </c>
      <c r="C1863" s="5">
        <f t="shared" ca="1" si="0"/>
        <v>3.5564970260592521E-2</v>
      </c>
    </row>
    <row r="1864" spans="1:3" ht="13" x14ac:dyDescent="0.15">
      <c r="A1864" s="3">
        <f ca="1">IFERROR(__xludf.DUMMYFUNCTION("""COMPUTED_VALUE"""),43143.6666666666)</f>
        <v>43143.666666666599</v>
      </c>
      <c r="B1864" s="4">
        <f ca="1">IFERROR(__xludf.DUMMYFUNCTION("""COMPUTED_VALUE"""),1051.94)</f>
        <v>1051.94</v>
      </c>
      <c r="C1864" s="5">
        <f t="shared" ca="1" si="0"/>
        <v>1.3552262238610483E-2</v>
      </c>
    </row>
    <row r="1865" spans="1:3" ht="13" x14ac:dyDescent="0.15">
      <c r="A1865" s="3">
        <f ca="1">IFERROR(__xludf.DUMMYFUNCTION("""COMPUTED_VALUE"""),43144.6666666666)</f>
        <v>43144.666666666599</v>
      </c>
      <c r="B1865" s="4">
        <f ca="1">IFERROR(__xludf.DUMMYFUNCTION("""COMPUTED_VALUE"""),1052.1)</f>
        <v>1052.0999999999999</v>
      </c>
      <c r="C1865" s="5">
        <f t="shared" ca="1" si="0"/>
        <v>1.5208836363207184E-4</v>
      </c>
    </row>
    <row r="1866" spans="1:3" ht="13" x14ac:dyDescent="0.15">
      <c r="A1866" s="3">
        <f ca="1">IFERROR(__xludf.DUMMYFUNCTION("""COMPUTED_VALUE"""),43145.6666666666)</f>
        <v>43145.666666666599</v>
      </c>
      <c r="B1866" s="4">
        <f ca="1">IFERROR(__xludf.DUMMYFUNCTION("""COMPUTED_VALUE"""),1069.7)</f>
        <v>1069.7</v>
      </c>
      <c r="C1866" s="5">
        <f t="shared" ca="1" si="0"/>
        <v>1.6590068497843075E-2</v>
      </c>
    </row>
    <row r="1867" spans="1:3" ht="13" x14ac:dyDescent="0.15">
      <c r="A1867" s="3">
        <f ca="1">IFERROR(__xludf.DUMMYFUNCTION("""COMPUTED_VALUE"""),43146.6666666666)</f>
        <v>43146.666666666599</v>
      </c>
      <c r="B1867" s="4">
        <f ca="1">IFERROR(__xludf.DUMMYFUNCTION("""COMPUTED_VALUE"""),1089.52)</f>
        <v>1089.52</v>
      </c>
      <c r="C1867" s="5">
        <f t="shared" ca="1" si="0"/>
        <v>1.8358996948616806E-2</v>
      </c>
    </row>
    <row r="1868" spans="1:3" ht="13" x14ac:dyDescent="0.15">
      <c r="A1868" s="3">
        <f ca="1">IFERROR(__xludf.DUMMYFUNCTION("""COMPUTED_VALUE"""),43147.6666666666)</f>
        <v>43147.666666666599</v>
      </c>
      <c r="B1868" s="4">
        <f ca="1">IFERROR(__xludf.DUMMYFUNCTION("""COMPUTED_VALUE"""),1094.8)</f>
        <v>1094.8</v>
      </c>
      <c r="C1868" s="5">
        <f t="shared" ca="1" si="0"/>
        <v>4.8344659058220897E-3</v>
      </c>
    </row>
    <row r="1869" spans="1:3" ht="13" x14ac:dyDescent="0.15">
      <c r="A1869" s="3">
        <f ca="1">IFERROR(__xludf.DUMMYFUNCTION("""COMPUTED_VALUE"""),43151.6666666666)</f>
        <v>43151.666666666599</v>
      </c>
      <c r="B1869" s="4">
        <f ca="1">IFERROR(__xludf.DUMMYFUNCTION("""COMPUTED_VALUE"""),1102.46)</f>
        <v>1102.46</v>
      </c>
      <c r="C1869" s="5">
        <f t="shared" ca="1" si="0"/>
        <v>6.9723483171608104E-3</v>
      </c>
    </row>
    <row r="1870" spans="1:3" ht="13" x14ac:dyDescent="0.15">
      <c r="A1870" s="3">
        <f ca="1">IFERROR(__xludf.DUMMYFUNCTION("""COMPUTED_VALUE"""),43152.6666666666)</f>
        <v>43152.666666666599</v>
      </c>
      <c r="B1870" s="4">
        <f ca="1">IFERROR(__xludf.DUMMYFUNCTION("""COMPUTED_VALUE"""),1111.34)</f>
        <v>1111.3399999999999</v>
      </c>
      <c r="C1870" s="5">
        <f t="shared" ca="1" si="0"/>
        <v>8.0224479411918556E-3</v>
      </c>
    </row>
    <row r="1871" spans="1:3" ht="13" x14ac:dyDescent="0.15">
      <c r="A1871" s="3">
        <f ca="1">IFERROR(__xludf.DUMMYFUNCTION("""COMPUTED_VALUE"""),43153.6666666666)</f>
        <v>43153.666666666599</v>
      </c>
      <c r="B1871" s="4">
        <f ca="1">IFERROR(__xludf.DUMMYFUNCTION("""COMPUTED_VALUE"""),1106.63)</f>
        <v>1106.6300000000001</v>
      </c>
      <c r="C1871" s="5">
        <f t="shared" ca="1" si="0"/>
        <v>-4.2471332614670522E-3</v>
      </c>
    </row>
    <row r="1872" spans="1:3" ht="13" x14ac:dyDescent="0.15">
      <c r="A1872" s="3">
        <f ca="1">IFERROR(__xludf.DUMMYFUNCTION("""COMPUTED_VALUE"""),43154.6666666666)</f>
        <v>43154.666666666599</v>
      </c>
      <c r="B1872" s="4">
        <f ca="1">IFERROR(__xludf.DUMMYFUNCTION("""COMPUTED_VALUE"""),1126.79)</f>
        <v>1126.79</v>
      </c>
      <c r="C1872" s="5">
        <f t="shared" ca="1" si="0"/>
        <v>1.8053521110041645E-2</v>
      </c>
    </row>
    <row r="1873" spans="1:3" ht="13" x14ac:dyDescent="0.15">
      <c r="A1873" s="3">
        <f ca="1">IFERROR(__xludf.DUMMYFUNCTION("""COMPUTED_VALUE"""),43157.6666666666)</f>
        <v>43157.666666666599</v>
      </c>
      <c r="B1873" s="4">
        <f ca="1">IFERROR(__xludf.DUMMYFUNCTION("""COMPUTED_VALUE"""),1143.75)</f>
        <v>1143.75</v>
      </c>
      <c r="C1873" s="5">
        <f t="shared" ca="1" si="0"/>
        <v>1.4939455316279713E-2</v>
      </c>
    </row>
    <row r="1874" spans="1:3" ht="13" x14ac:dyDescent="0.15">
      <c r="A1874" s="3">
        <f ca="1">IFERROR(__xludf.DUMMYFUNCTION("""COMPUTED_VALUE"""),43158.6666666666)</f>
        <v>43158.666666666599</v>
      </c>
      <c r="B1874" s="4">
        <f ca="1">IFERROR(__xludf.DUMMYFUNCTION("""COMPUTED_VALUE"""),1118.29)</f>
        <v>1118.29</v>
      </c>
      <c r="C1874" s="5">
        <f t="shared" ca="1" si="0"/>
        <v>-2.2511604739895885E-2</v>
      </c>
    </row>
    <row r="1875" spans="1:3" ht="13" x14ac:dyDescent="0.15">
      <c r="A1875" s="3">
        <f ca="1">IFERROR(__xludf.DUMMYFUNCTION("""COMPUTED_VALUE"""),43159.6666666666)</f>
        <v>43159.666666666599</v>
      </c>
      <c r="B1875" s="4">
        <f ca="1">IFERROR(__xludf.DUMMYFUNCTION("""COMPUTED_VALUE"""),1104.73)</f>
        <v>1104.73</v>
      </c>
      <c r="C1875" s="5">
        <f t="shared" ca="1" si="0"/>
        <v>-1.2199771646216995E-2</v>
      </c>
    </row>
    <row r="1876" spans="1:3" ht="13" x14ac:dyDescent="0.15">
      <c r="A1876" s="3">
        <f ca="1">IFERROR(__xludf.DUMMYFUNCTION("""COMPUTED_VALUE"""),43160.6666666666)</f>
        <v>43160.666666666599</v>
      </c>
      <c r="B1876" s="4">
        <f ca="1">IFERROR(__xludf.DUMMYFUNCTION("""COMPUTED_VALUE"""),1069.52)</f>
        <v>1069.52</v>
      </c>
      <c r="C1876" s="5">
        <f t="shared" ca="1" si="0"/>
        <v>-3.2391011528751151E-2</v>
      </c>
    </row>
    <row r="1877" spans="1:3" ht="13" x14ac:dyDescent="0.15">
      <c r="A1877" s="3">
        <f ca="1">IFERROR(__xludf.DUMMYFUNCTION("""COMPUTED_VALUE"""),43161.6666666666)</f>
        <v>43161.666666666599</v>
      </c>
      <c r="B1877" s="4">
        <f ca="1">IFERROR(__xludf.DUMMYFUNCTION("""COMPUTED_VALUE"""),1078.92)</f>
        <v>1078.92</v>
      </c>
      <c r="C1877" s="5">
        <f t="shared" ca="1" si="0"/>
        <v>8.7505911098147947E-3</v>
      </c>
    </row>
    <row r="1878" spans="1:3" ht="13" x14ac:dyDescent="0.15">
      <c r="A1878" s="3">
        <f ca="1">IFERROR(__xludf.DUMMYFUNCTION("""COMPUTED_VALUE"""),43164.6666666666)</f>
        <v>43164.666666666599</v>
      </c>
      <c r="B1878" s="4">
        <f ca="1">IFERROR(__xludf.DUMMYFUNCTION("""COMPUTED_VALUE"""),1090.93)</f>
        <v>1090.93</v>
      </c>
      <c r="C1878" s="5">
        <f t="shared" ca="1" si="0"/>
        <v>1.1070002670073475E-2</v>
      </c>
    </row>
    <row r="1879" spans="1:3" ht="13" x14ac:dyDescent="0.15">
      <c r="A1879" s="3">
        <f ca="1">IFERROR(__xludf.DUMMYFUNCTION("""COMPUTED_VALUE"""),43165.6666666666)</f>
        <v>43165.666666666599</v>
      </c>
      <c r="B1879" s="4">
        <f ca="1">IFERROR(__xludf.DUMMYFUNCTION("""COMPUTED_VALUE"""),1095.06)</f>
        <v>1095.06</v>
      </c>
      <c r="C1879" s="5">
        <f t="shared" ca="1" si="0"/>
        <v>3.7786128152288087E-3</v>
      </c>
    </row>
    <row r="1880" spans="1:3" ht="13" x14ac:dyDescent="0.15">
      <c r="A1880" s="3">
        <f ca="1">IFERROR(__xludf.DUMMYFUNCTION("""COMPUTED_VALUE"""),43166.6666666666)</f>
        <v>43166.666666666599</v>
      </c>
      <c r="B1880" s="4">
        <f ca="1">IFERROR(__xludf.DUMMYFUNCTION("""COMPUTED_VALUE"""),1109.64)</f>
        <v>1109.6400000000001</v>
      </c>
      <c r="C1880" s="5">
        <f t="shared" ca="1" si="0"/>
        <v>1.3226482107563364E-2</v>
      </c>
    </row>
    <row r="1881" spans="1:3" ht="13" x14ac:dyDescent="0.15">
      <c r="A1881" s="3">
        <f ca="1">IFERROR(__xludf.DUMMYFUNCTION("""COMPUTED_VALUE"""),43167.6666666666)</f>
        <v>43167.666666666599</v>
      </c>
      <c r="B1881" s="4">
        <f ca="1">IFERROR(__xludf.DUMMYFUNCTION("""COMPUTED_VALUE"""),1126)</f>
        <v>1126</v>
      </c>
      <c r="C1881" s="5">
        <f t="shared" ca="1" si="0"/>
        <v>1.4635891322088E-2</v>
      </c>
    </row>
    <row r="1882" spans="1:3" ht="13" x14ac:dyDescent="0.15">
      <c r="A1882" s="3">
        <f ca="1">IFERROR(__xludf.DUMMYFUNCTION("""COMPUTED_VALUE"""),43168.6666666666)</f>
        <v>43168.666666666599</v>
      </c>
      <c r="B1882" s="4">
        <f ca="1">IFERROR(__xludf.DUMMYFUNCTION("""COMPUTED_VALUE"""),1160.04)</f>
        <v>1160.04</v>
      </c>
      <c r="C1882" s="5">
        <f t="shared" ca="1" si="0"/>
        <v>2.9782957564878684E-2</v>
      </c>
    </row>
    <row r="1883" spans="1:3" ht="13" x14ac:dyDescent="0.15">
      <c r="A1883" s="3">
        <f ca="1">IFERROR(__xludf.DUMMYFUNCTION("""COMPUTED_VALUE"""),43171.6666666666)</f>
        <v>43171.666666666599</v>
      </c>
      <c r="B1883" s="4">
        <f ca="1">IFERROR(__xludf.DUMMYFUNCTION("""COMPUTED_VALUE"""),1164.5)</f>
        <v>1164.5</v>
      </c>
      <c r="C1883" s="5">
        <f t="shared" ca="1" si="0"/>
        <v>3.8373230598813162E-3</v>
      </c>
    </row>
    <row r="1884" spans="1:3" ht="13" x14ac:dyDescent="0.15">
      <c r="A1884" s="3">
        <f ca="1">IFERROR(__xludf.DUMMYFUNCTION("""COMPUTED_VALUE"""),43172.6666666666)</f>
        <v>43172.666666666599</v>
      </c>
      <c r="B1884" s="4">
        <f ca="1">IFERROR(__xludf.DUMMYFUNCTION("""COMPUTED_VALUE"""),1138.17)</f>
        <v>1138.17</v>
      </c>
      <c r="C1884" s="5">
        <f t="shared" ca="1" si="0"/>
        <v>-2.2870100909165861E-2</v>
      </c>
    </row>
    <row r="1885" spans="1:3" ht="13" x14ac:dyDescent="0.15">
      <c r="A1885" s="3">
        <f ca="1">IFERROR(__xludf.DUMMYFUNCTION("""COMPUTED_VALUE"""),43173.6666666666)</f>
        <v>43173.666666666599</v>
      </c>
      <c r="B1885" s="4">
        <f ca="1">IFERROR(__xludf.DUMMYFUNCTION("""COMPUTED_VALUE"""),1149.49)</f>
        <v>1149.49</v>
      </c>
      <c r="C1885" s="5">
        <f t="shared" ca="1" si="0"/>
        <v>9.8966563156293666E-3</v>
      </c>
    </row>
    <row r="1886" spans="1:3" ht="13" x14ac:dyDescent="0.15">
      <c r="A1886" s="3">
        <f ca="1">IFERROR(__xludf.DUMMYFUNCTION("""COMPUTED_VALUE"""),43174.6666666666)</f>
        <v>43174.666666666599</v>
      </c>
      <c r="B1886" s="4">
        <f ca="1">IFERROR(__xludf.DUMMYFUNCTION("""COMPUTED_VALUE"""),1149.58)</f>
        <v>1149.58</v>
      </c>
      <c r="C1886" s="5">
        <f t="shared" ca="1" si="0"/>
        <v>7.829252701816392E-5</v>
      </c>
    </row>
    <row r="1887" spans="1:3" ht="13" x14ac:dyDescent="0.15">
      <c r="A1887" s="3">
        <f ca="1">IFERROR(__xludf.DUMMYFUNCTION("""COMPUTED_VALUE"""),43175.6666666666)</f>
        <v>43175.666666666599</v>
      </c>
      <c r="B1887" s="4">
        <f ca="1">IFERROR(__xludf.DUMMYFUNCTION("""COMPUTED_VALUE"""),1135.73)</f>
        <v>1135.73</v>
      </c>
      <c r="C1887" s="5">
        <f t="shared" ca="1" si="0"/>
        <v>-1.2121042282548919E-2</v>
      </c>
    </row>
    <row r="1888" spans="1:3" ht="13" x14ac:dyDescent="0.15">
      <c r="A1888" s="3">
        <f ca="1">IFERROR(__xludf.DUMMYFUNCTION("""COMPUTED_VALUE"""),43178.6666666666)</f>
        <v>43178.666666666599</v>
      </c>
      <c r="B1888" s="4">
        <f ca="1">IFERROR(__xludf.DUMMYFUNCTION("""COMPUTED_VALUE"""),1099.82)</f>
        <v>1099.82</v>
      </c>
      <c r="C1888" s="5">
        <f t="shared" ca="1" si="0"/>
        <v>-3.2129085942393575E-2</v>
      </c>
    </row>
    <row r="1889" spans="1:3" ht="13" x14ac:dyDescent="0.15">
      <c r="A1889" s="3">
        <f ca="1">IFERROR(__xludf.DUMMYFUNCTION("""COMPUTED_VALUE"""),43179.6666666666)</f>
        <v>43179.666666666599</v>
      </c>
      <c r="B1889" s="4">
        <f ca="1">IFERROR(__xludf.DUMMYFUNCTION("""COMPUTED_VALUE"""),1097.71)</f>
        <v>1097.71</v>
      </c>
      <c r="C1889" s="5">
        <f t="shared" ca="1" si="0"/>
        <v>-1.9203384239763219E-3</v>
      </c>
    </row>
    <row r="1890" spans="1:3" ht="13" x14ac:dyDescent="0.15">
      <c r="A1890" s="3">
        <f ca="1">IFERROR(__xludf.DUMMYFUNCTION("""COMPUTED_VALUE"""),43180.6666666666)</f>
        <v>43180.666666666599</v>
      </c>
      <c r="B1890" s="4">
        <f ca="1">IFERROR(__xludf.DUMMYFUNCTION("""COMPUTED_VALUE"""),1090.88)</f>
        <v>1090.8800000000001</v>
      </c>
      <c r="C1890" s="5">
        <f t="shared" ca="1" si="0"/>
        <v>-6.2414816594202902E-3</v>
      </c>
    </row>
    <row r="1891" spans="1:3" ht="13" x14ac:dyDescent="0.15">
      <c r="A1891" s="3">
        <f ca="1">IFERROR(__xludf.DUMMYFUNCTION("""COMPUTED_VALUE"""),43181.6666666666)</f>
        <v>43181.666666666599</v>
      </c>
      <c r="B1891" s="4">
        <f ca="1">IFERROR(__xludf.DUMMYFUNCTION("""COMPUTED_VALUE"""),1049.08)</f>
        <v>1049.08</v>
      </c>
      <c r="C1891" s="5">
        <f t="shared" ca="1" si="0"/>
        <v>-3.9071120353402544E-2</v>
      </c>
    </row>
    <row r="1892" spans="1:3" ht="13" x14ac:dyDescent="0.15">
      <c r="A1892" s="3">
        <f ca="1">IFERROR(__xludf.DUMMYFUNCTION("""COMPUTED_VALUE"""),43182.6666666666)</f>
        <v>43182.666666666599</v>
      </c>
      <c r="B1892" s="4">
        <f ca="1">IFERROR(__xludf.DUMMYFUNCTION("""COMPUTED_VALUE"""),1021.57)</f>
        <v>1021.57</v>
      </c>
      <c r="C1892" s="5">
        <f t="shared" ca="1" si="0"/>
        <v>-2.6572930009848224E-2</v>
      </c>
    </row>
    <row r="1893" spans="1:3" ht="13" x14ac:dyDescent="0.15">
      <c r="A1893" s="3">
        <f ca="1">IFERROR(__xludf.DUMMYFUNCTION("""COMPUTED_VALUE"""),43185.6666666666)</f>
        <v>43185.666666666599</v>
      </c>
      <c r="B1893" s="4">
        <f ca="1">IFERROR(__xludf.DUMMYFUNCTION("""COMPUTED_VALUE"""),1053.21)</f>
        <v>1053.21</v>
      </c>
      <c r="C1893" s="5">
        <f t="shared" ca="1" si="0"/>
        <v>3.0501983863559606E-2</v>
      </c>
    </row>
    <row r="1894" spans="1:3" ht="13" x14ac:dyDescent="0.15">
      <c r="A1894" s="3">
        <f ca="1">IFERROR(__xludf.DUMMYFUNCTION("""COMPUTED_VALUE"""),43186.6666666666)</f>
        <v>43186.666666666599</v>
      </c>
      <c r="B1894" s="4">
        <f ca="1">IFERROR(__xludf.DUMMYFUNCTION("""COMPUTED_VALUE"""),1005.1)</f>
        <v>1005.1</v>
      </c>
      <c r="C1894" s="5">
        <f t="shared" ca="1" si="0"/>
        <v>-4.6755604419152934E-2</v>
      </c>
    </row>
    <row r="1895" spans="1:3" ht="13" x14ac:dyDescent="0.15">
      <c r="A1895" s="3">
        <f ca="1">IFERROR(__xludf.DUMMYFUNCTION("""COMPUTED_VALUE"""),43187.6666666666)</f>
        <v>43187.666666666599</v>
      </c>
      <c r="B1895" s="4">
        <f ca="1">IFERROR(__xludf.DUMMYFUNCTION("""COMPUTED_VALUE"""),1004.56)</f>
        <v>1004.56</v>
      </c>
      <c r="C1895" s="5">
        <f t="shared" ca="1" si="0"/>
        <v>-5.3740434998580575E-4</v>
      </c>
    </row>
    <row r="1896" spans="1:3" ht="13" x14ac:dyDescent="0.15">
      <c r="A1896" s="3">
        <f ca="1">IFERROR(__xludf.DUMMYFUNCTION("""COMPUTED_VALUE"""),43188.6666666666)</f>
        <v>43188.666666666599</v>
      </c>
      <c r="B1896" s="4">
        <f ca="1">IFERROR(__xludf.DUMMYFUNCTION("""COMPUTED_VALUE"""),1031.79)</f>
        <v>1031.79</v>
      </c>
      <c r="C1896" s="5">
        <f t="shared" ca="1" si="0"/>
        <v>2.6745523282138792E-2</v>
      </c>
    </row>
    <row r="1897" spans="1:3" ht="13" x14ac:dyDescent="0.15">
      <c r="A1897" s="3">
        <f ca="1">IFERROR(__xludf.DUMMYFUNCTION("""COMPUTED_VALUE"""),43192.6666666666)</f>
        <v>43192.666666666599</v>
      </c>
      <c r="B1897" s="4">
        <f ca="1">IFERROR(__xludf.DUMMYFUNCTION("""COMPUTED_VALUE"""),1006.47)</f>
        <v>1006.47</v>
      </c>
      <c r="C1897" s="5">
        <f t="shared" ca="1" si="0"/>
        <v>-2.4845998586530776E-2</v>
      </c>
    </row>
    <row r="1898" spans="1:3" ht="13" x14ac:dyDescent="0.15">
      <c r="A1898" s="3">
        <f ca="1">IFERROR(__xludf.DUMMYFUNCTION("""COMPUTED_VALUE"""),43193.6666666666)</f>
        <v>43193.666666666599</v>
      </c>
      <c r="B1898" s="4">
        <f ca="1">IFERROR(__xludf.DUMMYFUNCTION("""COMPUTED_VALUE"""),1013.41)</f>
        <v>1013.41</v>
      </c>
      <c r="C1898" s="5">
        <f t="shared" ca="1" si="0"/>
        <v>6.8717223886638696E-3</v>
      </c>
    </row>
    <row r="1899" spans="1:3" ht="13" x14ac:dyDescent="0.15">
      <c r="A1899" s="3">
        <f ca="1">IFERROR(__xludf.DUMMYFUNCTION("""COMPUTED_VALUE"""),43194.6666666666)</f>
        <v>43194.666666666599</v>
      </c>
      <c r="B1899" s="4">
        <f ca="1">IFERROR(__xludf.DUMMYFUNCTION("""COMPUTED_VALUE"""),1025.14)</f>
        <v>1025.1400000000001</v>
      </c>
      <c r="C1899" s="5">
        <f t="shared" ca="1" si="0"/>
        <v>1.1508306846450168E-2</v>
      </c>
    </row>
    <row r="1900" spans="1:3" ht="13" x14ac:dyDescent="0.15">
      <c r="A1900" s="3">
        <f ca="1">IFERROR(__xludf.DUMMYFUNCTION("""COMPUTED_VALUE"""),43195.6666666666)</f>
        <v>43195.666666666599</v>
      </c>
      <c r="B1900" s="4">
        <f ca="1">IFERROR(__xludf.DUMMYFUNCTION("""COMPUTED_VALUE"""),1027.81)</f>
        <v>1027.81</v>
      </c>
      <c r="C1900" s="5">
        <f t="shared" ca="1" si="0"/>
        <v>2.6011364187288441E-3</v>
      </c>
    </row>
    <row r="1901" spans="1:3" ht="13" x14ac:dyDescent="0.15">
      <c r="A1901" s="3">
        <f ca="1">IFERROR(__xludf.DUMMYFUNCTION("""COMPUTED_VALUE"""),43196.6666666666)</f>
        <v>43196.666666666599</v>
      </c>
      <c r="B1901" s="4">
        <f ca="1">IFERROR(__xludf.DUMMYFUNCTION("""COMPUTED_VALUE"""),1007.04)</f>
        <v>1007.04</v>
      </c>
      <c r="C1901" s="5">
        <f t="shared" ca="1" si="0"/>
        <v>-2.0414990154117411E-2</v>
      </c>
    </row>
    <row r="1902" spans="1:3" ht="13" x14ac:dyDescent="0.15">
      <c r="A1902" s="3">
        <f ca="1">IFERROR(__xludf.DUMMYFUNCTION("""COMPUTED_VALUE"""),43199.6666666666)</f>
        <v>43199.666666666599</v>
      </c>
      <c r="B1902" s="4">
        <f ca="1">IFERROR(__xludf.DUMMYFUNCTION("""COMPUTED_VALUE"""),1015.45)</f>
        <v>1015.45</v>
      </c>
      <c r="C1902" s="5">
        <f t="shared" ca="1" si="0"/>
        <v>8.3165291030766648E-3</v>
      </c>
    </row>
    <row r="1903" spans="1:3" ht="13" x14ac:dyDescent="0.15">
      <c r="A1903" s="3">
        <f ca="1">IFERROR(__xludf.DUMMYFUNCTION("""COMPUTED_VALUE"""),43200.6666666666)</f>
        <v>43200.666666666599</v>
      </c>
      <c r="B1903" s="4">
        <f ca="1">IFERROR(__xludf.DUMMYFUNCTION("""COMPUTED_VALUE"""),1031.64)</f>
        <v>1031.6400000000001</v>
      </c>
      <c r="C1903" s="5">
        <f t="shared" ca="1" si="0"/>
        <v>1.5817904995234344E-2</v>
      </c>
    </row>
    <row r="1904" spans="1:3" ht="13" x14ac:dyDescent="0.15">
      <c r="A1904" s="3">
        <f ca="1">IFERROR(__xludf.DUMMYFUNCTION("""COMPUTED_VALUE"""),43201.6666666666)</f>
        <v>43201.666666666599</v>
      </c>
      <c r="B1904" s="4">
        <f ca="1">IFERROR(__xludf.DUMMYFUNCTION("""COMPUTED_VALUE"""),1019.97)</f>
        <v>1019.97</v>
      </c>
      <c r="C1904" s="5">
        <f t="shared" ca="1" si="0"/>
        <v>-1.1376553893276678E-2</v>
      </c>
    </row>
    <row r="1905" spans="1:3" ht="13" x14ac:dyDescent="0.15">
      <c r="A1905" s="3">
        <f ca="1">IFERROR(__xludf.DUMMYFUNCTION("""COMPUTED_VALUE"""),43202.6666666666)</f>
        <v>43202.666666666599</v>
      </c>
      <c r="B1905" s="4">
        <f ca="1">IFERROR(__xludf.DUMMYFUNCTION("""COMPUTED_VALUE"""),1032.51)</f>
        <v>1032.51</v>
      </c>
      <c r="C1905" s="5">
        <f t="shared" ca="1" si="0"/>
        <v>1.2219515937234113E-2</v>
      </c>
    </row>
    <row r="1906" spans="1:3" ht="13" x14ac:dyDescent="0.15">
      <c r="A1906" s="3">
        <f ca="1">IFERROR(__xludf.DUMMYFUNCTION("""COMPUTED_VALUE"""),43203.6666666666)</f>
        <v>43203.666666666599</v>
      </c>
      <c r="B1906" s="4">
        <f ca="1">IFERROR(__xludf.DUMMYFUNCTION("""COMPUTED_VALUE"""),1029.27)</f>
        <v>1029.27</v>
      </c>
      <c r="C1906" s="5">
        <f t="shared" ca="1" si="0"/>
        <v>-3.1429179321183403E-3</v>
      </c>
    </row>
    <row r="1907" spans="1:3" ht="13" x14ac:dyDescent="0.15">
      <c r="A1907" s="3">
        <f ca="1">IFERROR(__xludf.DUMMYFUNCTION("""COMPUTED_VALUE"""),43206.6666666666)</f>
        <v>43206.666666666599</v>
      </c>
      <c r="B1907" s="4">
        <f ca="1">IFERROR(__xludf.DUMMYFUNCTION("""COMPUTED_VALUE"""),1037.98)</f>
        <v>1037.98</v>
      </c>
      <c r="C1907" s="5">
        <f t="shared" ca="1" si="0"/>
        <v>8.4267036312789916E-3</v>
      </c>
    </row>
    <row r="1908" spans="1:3" ht="13" x14ac:dyDescent="0.15">
      <c r="A1908" s="3">
        <f ca="1">IFERROR(__xludf.DUMMYFUNCTION("""COMPUTED_VALUE"""),43207.6666666666)</f>
        <v>43207.666666666599</v>
      </c>
      <c r="B1908" s="4">
        <f ca="1">IFERROR(__xludf.DUMMYFUNCTION("""COMPUTED_VALUE"""),1074.16)</f>
        <v>1074.1600000000001</v>
      </c>
      <c r="C1908" s="5">
        <f t="shared" ca="1" si="0"/>
        <v>3.4262444046981679E-2</v>
      </c>
    </row>
    <row r="1909" spans="1:3" ht="13" x14ac:dyDescent="0.15">
      <c r="A1909" s="3">
        <f ca="1">IFERROR(__xludf.DUMMYFUNCTION("""COMPUTED_VALUE"""),43208.6666666666)</f>
        <v>43208.666666666599</v>
      </c>
      <c r="B1909" s="4">
        <f ca="1">IFERROR(__xludf.DUMMYFUNCTION("""COMPUTED_VALUE"""),1072.08)</f>
        <v>1072.08</v>
      </c>
      <c r="C1909" s="5">
        <f t="shared" ca="1" si="0"/>
        <v>-1.9382740524798985E-3</v>
      </c>
    </row>
    <row r="1910" spans="1:3" ht="13" x14ac:dyDescent="0.15">
      <c r="A1910" s="3">
        <f ca="1">IFERROR(__xludf.DUMMYFUNCTION("""COMPUTED_VALUE"""),43209.6666666666)</f>
        <v>43209.666666666599</v>
      </c>
      <c r="B1910" s="4">
        <f ca="1">IFERROR(__xludf.DUMMYFUNCTION("""COMPUTED_VALUE"""),1087.7)</f>
        <v>1087.7</v>
      </c>
      <c r="C1910" s="5">
        <f t="shared" ca="1" si="0"/>
        <v>1.446468838783177E-2</v>
      </c>
    </row>
    <row r="1911" spans="1:3" ht="13" x14ac:dyDescent="0.15">
      <c r="A1911" s="3">
        <f ca="1">IFERROR(__xludf.DUMMYFUNCTION("""COMPUTED_VALUE"""),43210.6666666666)</f>
        <v>43210.666666666599</v>
      </c>
      <c r="B1911" s="4">
        <f ca="1">IFERROR(__xludf.DUMMYFUNCTION("""COMPUTED_VALUE"""),1072.96)</f>
        <v>1072.96</v>
      </c>
      <c r="C1911" s="5">
        <f t="shared" ca="1" si="0"/>
        <v>-1.3644190821940898E-2</v>
      </c>
    </row>
    <row r="1912" spans="1:3" ht="13" x14ac:dyDescent="0.15">
      <c r="A1912" s="3">
        <f ca="1">IFERROR(__xludf.DUMMYFUNCTION("""COMPUTED_VALUE"""),43213.6666666666)</f>
        <v>43213.666666666599</v>
      </c>
      <c r="B1912" s="4">
        <f ca="1">IFERROR(__xludf.DUMMYFUNCTION("""COMPUTED_VALUE"""),1067.45)</f>
        <v>1067.45</v>
      </c>
      <c r="C1912" s="5">
        <f t="shared" ca="1" si="0"/>
        <v>-5.1485576795307171E-3</v>
      </c>
    </row>
    <row r="1913" spans="1:3" ht="13" x14ac:dyDescent="0.15">
      <c r="A1913" s="3">
        <f ca="1">IFERROR(__xludf.DUMMYFUNCTION("""COMPUTED_VALUE"""),43214.6666666666)</f>
        <v>43214.666666666599</v>
      </c>
      <c r="B1913" s="4">
        <f ca="1">IFERROR(__xludf.DUMMYFUNCTION("""COMPUTED_VALUE"""),1019.98)</f>
        <v>1019.98</v>
      </c>
      <c r="C1913" s="5">
        <f t="shared" ca="1" si="0"/>
        <v>-4.5489607355389747E-2</v>
      </c>
    </row>
    <row r="1914" spans="1:3" ht="13" x14ac:dyDescent="0.15">
      <c r="A1914" s="3">
        <f ca="1">IFERROR(__xludf.DUMMYFUNCTION("""COMPUTED_VALUE"""),43215.6666666666)</f>
        <v>43215.666666666599</v>
      </c>
      <c r="B1914" s="4">
        <f ca="1">IFERROR(__xludf.DUMMYFUNCTION("""COMPUTED_VALUE"""),1021.18)</f>
        <v>1021.18</v>
      </c>
      <c r="C1914" s="5">
        <f t="shared" ca="1" si="0"/>
        <v>1.1758021304071327E-3</v>
      </c>
    </row>
    <row r="1915" spans="1:3" ht="13" x14ac:dyDescent="0.15">
      <c r="A1915" s="3">
        <f ca="1">IFERROR(__xludf.DUMMYFUNCTION("""COMPUTED_VALUE"""),43216.6666666666)</f>
        <v>43216.666666666599</v>
      </c>
      <c r="B1915" s="4">
        <f ca="1">IFERROR(__xludf.DUMMYFUNCTION("""COMPUTED_VALUE"""),1040.04)</f>
        <v>1040.04</v>
      </c>
      <c r="C1915" s="5">
        <f t="shared" ca="1" si="0"/>
        <v>1.830035256090343E-2</v>
      </c>
    </row>
    <row r="1916" spans="1:3" ht="13" x14ac:dyDescent="0.15">
      <c r="A1916" s="3">
        <f ca="1">IFERROR(__xludf.DUMMYFUNCTION("""COMPUTED_VALUE"""),43217.6666666666)</f>
        <v>43217.666666666599</v>
      </c>
      <c r="B1916" s="4">
        <f ca="1">IFERROR(__xludf.DUMMYFUNCTION("""COMPUTED_VALUE"""),1030.05)</f>
        <v>1030.05</v>
      </c>
      <c r="C1916" s="5">
        <f t="shared" ca="1" si="0"/>
        <v>-9.651829199458787E-3</v>
      </c>
    </row>
    <row r="1917" spans="1:3" ht="13" x14ac:dyDescent="0.15">
      <c r="A1917" s="3">
        <f ca="1">IFERROR(__xludf.DUMMYFUNCTION("""COMPUTED_VALUE"""),43220.6666666666)</f>
        <v>43220.666666666599</v>
      </c>
      <c r="B1917" s="4">
        <f ca="1">IFERROR(__xludf.DUMMYFUNCTION("""COMPUTED_VALUE"""),1017.33)</f>
        <v>1017.33</v>
      </c>
      <c r="C1917" s="5">
        <f t="shared" ca="1" si="0"/>
        <v>-1.2425796543898743E-2</v>
      </c>
    </row>
    <row r="1918" spans="1:3" ht="13" x14ac:dyDescent="0.15">
      <c r="A1918" s="3">
        <f ca="1">IFERROR(__xludf.DUMMYFUNCTION("""COMPUTED_VALUE"""),43221.6666666666)</f>
        <v>43221.666666666599</v>
      </c>
      <c r="B1918" s="4">
        <f ca="1">IFERROR(__xludf.DUMMYFUNCTION("""COMPUTED_VALUE"""),1037.31)</f>
        <v>1037.31</v>
      </c>
      <c r="C1918" s="5">
        <f t="shared" ca="1" si="0"/>
        <v>1.9449275613027141E-2</v>
      </c>
    </row>
    <row r="1919" spans="1:3" ht="13" x14ac:dyDescent="0.15">
      <c r="A1919" s="3">
        <f ca="1">IFERROR(__xludf.DUMMYFUNCTION("""COMPUTED_VALUE"""),43222.6666666666)</f>
        <v>43222.666666666599</v>
      </c>
      <c r="B1919" s="4">
        <f ca="1">IFERROR(__xludf.DUMMYFUNCTION("""COMPUTED_VALUE"""),1024.38)</f>
        <v>1024.3800000000001</v>
      </c>
      <c r="C1919" s="5">
        <f t="shared" ca="1" si="0"/>
        <v>-1.2543272292726195E-2</v>
      </c>
    </row>
    <row r="1920" spans="1:3" ht="13" x14ac:dyDescent="0.15">
      <c r="A1920" s="3">
        <f ca="1">IFERROR(__xludf.DUMMYFUNCTION("""COMPUTED_VALUE"""),43223.6666666666)</f>
        <v>43223.666666666599</v>
      </c>
      <c r="B1920" s="4">
        <f ca="1">IFERROR(__xludf.DUMMYFUNCTION("""COMPUTED_VALUE"""),1023.72)</f>
        <v>1023.72</v>
      </c>
      <c r="C1920" s="5">
        <f t="shared" ca="1" si="0"/>
        <v>-6.4449980259364355E-4</v>
      </c>
    </row>
    <row r="1921" spans="1:3" ht="13" x14ac:dyDescent="0.15">
      <c r="A1921" s="3">
        <f ca="1">IFERROR(__xludf.DUMMYFUNCTION("""COMPUTED_VALUE"""),43224.6666666666)</f>
        <v>43224.666666666599</v>
      </c>
      <c r="B1921" s="4">
        <f ca="1">IFERROR(__xludf.DUMMYFUNCTION("""COMPUTED_VALUE"""),1048.21)</f>
        <v>1048.21</v>
      </c>
      <c r="C1921" s="5">
        <f t="shared" ca="1" si="0"/>
        <v>2.3640895778046039E-2</v>
      </c>
    </row>
    <row r="1922" spans="1:3" ht="13" x14ac:dyDescent="0.15">
      <c r="A1922" s="3">
        <f ca="1">IFERROR(__xludf.DUMMYFUNCTION("""COMPUTED_VALUE"""),43227.6666666666)</f>
        <v>43227.666666666599</v>
      </c>
      <c r="B1922" s="4">
        <f ca="1">IFERROR(__xludf.DUMMYFUNCTION("""COMPUTED_VALUE"""),1054.79)</f>
        <v>1054.79</v>
      </c>
      <c r="C1922" s="5">
        <f t="shared" ca="1" si="0"/>
        <v>6.2577474773107249E-3</v>
      </c>
    </row>
    <row r="1923" spans="1:3" ht="13" x14ac:dyDescent="0.15">
      <c r="A1923" s="3">
        <f ca="1">IFERROR(__xludf.DUMMYFUNCTION("""COMPUTED_VALUE"""),43228.6666666666)</f>
        <v>43228.666666666599</v>
      </c>
      <c r="B1923" s="4">
        <f ca="1">IFERROR(__xludf.DUMMYFUNCTION("""COMPUTED_VALUE"""),1053.91)</f>
        <v>1053.9100000000001</v>
      </c>
      <c r="C1923" s="5">
        <f t="shared" ca="1" si="0"/>
        <v>-8.3463750280770774E-4</v>
      </c>
    </row>
    <row r="1924" spans="1:3" ht="13" x14ac:dyDescent="0.15">
      <c r="A1924" s="3">
        <f ca="1">IFERROR(__xludf.DUMMYFUNCTION("""COMPUTED_VALUE"""),43229.6666666666)</f>
        <v>43229.666666666599</v>
      </c>
      <c r="B1924" s="4">
        <f ca="1">IFERROR(__xludf.DUMMYFUNCTION("""COMPUTED_VALUE"""),1082.76)</f>
        <v>1082.76</v>
      </c>
      <c r="C1924" s="5">
        <f t="shared" ca="1" si="0"/>
        <v>2.7006279333257017E-2</v>
      </c>
    </row>
    <row r="1925" spans="1:3" ht="13" x14ac:dyDescent="0.15">
      <c r="A1925" s="3">
        <f ca="1">IFERROR(__xludf.DUMMYFUNCTION("""COMPUTED_VALUE"""),43230.6666666666)</f>
        <v>43230.666666666599</v>
      </c>
      <c r="B1925" s="4">
        <f ca="1">IFERROR(__xludf.DUMMYFUNCTION("""COMPUTED_VALUE"""),1097.57)</f>
        <v>1097.57</v>
      </c>
      <c r="C1925" s="5">
        <f t="shared" ca="1" si="0"/>
        <v>1.3585308442159225E-2</v>
      </c>
    </row>
    <row r="1926" spans="1:3" ht="13" x14ac:dyDescent="0.15">
      <c r="A1926" s="3">
        <f ca="1">IFERROR(__xludf.DUMMYFUNCTION("""COMPUTED_VALUE"""),43231.6666666666)</f>
        <v>43231.666666666599</v>
      </c>
      <c r="B1926" s="4">
        <f ca="1">IFERROR(__xludf.DUMMYFUNCTION("""COMPUTED_VALUE"""),1098.26)</f>
        <v>1098.26</v>
      </c>
      <c r="C1926" s="5">
        <f t="shared" ca="1" si="0"/>
        <v>6.2846397281278649E-4</v>
      </c>
    </row>
    <row r="1927" spans="1:3" ht="13" x14ac:dyDescent="0.15">
      <c r="A1927" s="3">
        <f ca="1">IFERROR(__xludf.DUMMYFUNCTION("""COMPUTED_VALUE"""),43234.6666666666)</f>
        <v>43234.666666666599</v>
      </c>
      <c r="B1927" s="4">
        <f ca="1">IFERROR(__xludf.DUMMYFUNCTION("""COMPUTED_VALUE"""),1100.2)</f>
        <v>1100.2</v>
      </c>
      <c r="C1927" s="5">
        <f t="shared" ca="1" si="0"/>
        <v>1.7648722319761184E-3</v>
      </c>
    </row>
    <row r="1928" spans="1:3" ht="13" x14ac:dyDescent="0.15">
      <c r="A1928" s="3">
        <f ca="1">IFERROR(__xludf.DUMMYFUNCTION("""COMPUTED_VALUE"""),43235.6666666666)</f>
        <v>43235.666666666599</v>
      </c>
      <c r="B1928" s="4">
        <f ca="1">IFERROR(__xludf.DUMMYFUNCTION("""COMPUTED_VALUE"""),1079.23)</f>
        <v>1079.23</v>
      </c>
      <c r="C1928" s="5">
        <f t="shared" ca="1" si="0"/>
        <v>-1.9244157565016819E-2</v>
      </c>
    </row>
    <row r="1929" spans="1:3" ht="13" x14ac:dyDescent="0.15">
      <c r="A1929" s="3">
        <f ca="1">IFERROR(__xludf.DUMMYFUNCTION("""COMPUTED_VALUE"""),43236.6666666666)</f>
        <v>43236.666666666599</v>
      </c>
      <c r="B1929" s="4">
        <f ca="1">IFERROR(__xludf.DUMMYFUNCTION("""COMPUTED_VALUE"""),1081.77)</f>
        <v>1081.77</v>
      </c>
      <c r="C1929" s="5">
        <f t="shared" ca="1" si="0"/>
        <v>2.350764617945221E-3</v>
      </c>
    </row>
    <row r="1930" spans="1:3" ht="13" x14ac:dyDescent="0.15">
      <c r="A1930" s="3">
        <f ca="1">IFERROR(__xludf.DUMMYFUNCTION("""COMPUTED_VALUE"""),43237.6666666666)</f>
        <v>43237.666666666599</v>
      </c>
      <c r="B1930" s="4">
        <f ca="1">IFERROR(__xludf.DUMMYFUNCTION("""COMPUTED_VALUE"""),1078.59)</f>
        <v>1078.5899999999999</v>
      </c>
      <c r="C1930" s="5">
        <f t="shared" ca="1" si="0"/>
        <v>-2.9439559117202998E-3</v>
      </c>
    </row>
    <row r="1931" spans="1:3" ht="13" x14ac:dyDescent="0.15">
      <c r="A1931" s="3">
        <f ca="1">IFERROR(__xludf.DUMMYFUNCTION("""COMPUTED_VALUE"""),43238.6666666666)</f>
        <v>43238.666666666599</v>
      </c>
      <c r="B1931" s="4">
        <f ca="1">IFERROR(__xludf.DUMMYFUNCTION("""COMPUTED_VALUE"""),1066.36)</f>
        <v>1066.3599999999999</v>
      </c>
      <c r="C1931" s="5">
        <f t="shared" ca="1" si="0"/>
        <v>-1.1403652798905803E-2</v>
      </c>
    </row>
    <row r="1932" spans="1:3" ht="13" x14ac:dyDescent="0.15">
      <c r="A1932" s="3">
        <f ca="1">IFERROR(__xludf.DUMMYFUNCTION("""COMPUTED_VALUE"""),43241.6666666666)</f>
        <v>43241.666666666599</v>
      </c>
      <c r="B1932" s="4">
        <f ca="1">IFERROR(__xludf.DUMMYFUNCTION("""COMPUTED_VALUE"""),1079.58)</f>
        <v>1079.58</v>
      </c>
      <c r="C1932" s="5">
        <f t="shared" ca="1" si="0"/>
        <v>1.2321096808822167E-2</v>
      </c>
    </row>
    <row r="1933" spans="1:3" ht="13" x14ac:dyDescent="0.15">
      <c r="A1933" s="3">
        <f ca="1">IFERROR(__xludf.DUMMYFUNCTION("""COMPUTED_VALUE"""),43242.6666666666)</f>
        <v>43242.666666666599</v>
      </c>
      <c r="B1933" s="4">
        <f ca="1">IFERROR(__xludf.DUMMYFUNCTION("""COMPUTED_VALUE"""),1069.73)</f>
        <v>1069.73</v>
      </c>
      <c r="C1933" s="5">
        <f t="shared" ca="1" si="0"/>
        <v>-9.1657964273269207E-3</v>
      </c>
    </row>
    <row r="1934" spans="1:3" ht="13" x14ac:dyDescent="0.15">
      <c r="A1934" s="3">
        <f ca="1">IFERROR(__xludf.DUMMYFUNCTION("""COMPUTED_VALUE"""),43243.6666666666)</f>
        <v>43243.666666666599</v>
      </c>
      <c r="B1934" s="4">
        <f ca="1">IFERROR(__xludf.DUMMYFUNCTION("""COMPUTED_VALUE"""),1079.69)</f>
        <v>1079.69</v>
      </c>
      <c r="C1934" s="5">
        <f t="shared" ca="1" si="0"/>
        <v>9.2676827130579575E-3</v>
      </c>
    </row>
    <row r="1935" spans="1:3" ht="13" x14ac:dyDescent="0.15">
      <c r="A1935" s="3">
        <f ca="1">IFERROR(__xludf.DUMMYFUNCTION("""COMPUTED_VALUE"""),43244.6666666666)</f>
        <v>43244.666666666599</v>
      </c>
      <c r="B1935" s="4">
        <f ca="1">IFERROR(__xludf.DUMMYFUNCTION("""COMPUTED_VALUE"""),1079.24)</f>
        <v>1079.24</v>
      </c>
      <c r="C1935" s="5">
        <f t="shared" ca="1" si="0"/>
        <v>-4.1687317932208052E-4</v>
      </c>
    </row>
    <row r="1936" spans="1:3" ht="13" x14ac:dyDescent="0.15">
      <c r="A1936" s="3">
        <f ca="1">IFERROR(__xludf.DUMMYFUNCTION("""COMPUTED_VALUE"""),43245.6666666666)</f>
        <v>43245.666666666599</v>
      </c>
      <c r="B1936" s="4">
        <f ca="1">IFERROR(__xludf.DUMMYFUNCTION("""COMPUTED_VALUE"""),1075.66)</f>
        <v>1075.6600000000001</v>
      </c>
      <c r="C1936" s="5">
        <f t="shared" ca="1" si="0"/>
        <v>-3.3226630410934156E-3</v>
      </c>
    </row>
    <row r="1937" spans="1:3" ht="13" x14ac:dyDescent="0.15">
      <c r="A1937" s="3">
        <f ca="1">IFERROR(__xludf.DUMMYFUNCTION("""COMPUTED_VALUE"""),43249.6666666666)</f>
        <v>43249.666666666599</v>
      </c>
      <c r="B1937" s="4">
        <f ca="1">IFERROR(__xludf.DUMMYFUNCTION("""COMPUTED_VALUE"""),1060.32)</f>
        <v>1060.32</v>
      </c>
      <c r="C1937" s="5">
        <f t="shared" ca="1" si="0"/>
        <v>-1.4363677317881155E-2</v>
      </c>
    </row>
    <row r="1938" spans="1:3" ht="13" x14ac:dyDescent="0.15">
      <c r="A1938" s="3">
        <f ca="1">IFERROR(__xludf.DUMMYFUNCTION("""COMPUTED_VALUE"""),43250.6666666666)</f>
        <v>43250.666666666599</v>
      </c>
      <c r="B1938" s="4">
        <f ca="1">IFERROR(__xludf.DUMMYFUNCTION("""COMPUTED_VALUE"""),1067.8)</f>
        <v>1067.8</v>
      </c>
      <c r="C1938" s="5">
        <f t="shared" ca="1" si="0"/>
        <v>7.0297077261691618E-3</v>
      </c>
    </row>
    <row r="1939" spans="1:3" ht="13" x14ac:dyDescent="0.15">
      <c r="A1939" s="3">
        <f ca="1">IFERROR(__xludf.DUMMYFUNCTION("""COMPUTED_VALUE"""),43251.6666666666)</f>
        <v>43251.666666666599</v>
      </c>
      <c r="B1939" s="4">
        <f ca="1">IFERROR(__xludf.DUMMYFUNCTION("""COMPUTED_VALUE"""),1084.99)</f>
        <v>1084.99</v>
      </c>
      <c r="C1939" s="5">
        <f t="shared" ca="1" si="0"/>
        <v>1.597031327613934E-2</v>
      </c>
    </row>
    <row r="1940" spans="1:3" ht="13" x14ac:dyDescent="0.15">
      <c r="A1940" s="3">
        <f ca="1">IFERROR(__xludf.DUMMYFUNCTION("""COMPUTED_VALUE"""),43252.6666666666)</f>
        <v>43252.666666666599</v>
      </c>
      <c r="B1940" s="4">
        <f ca="1">IFERROR(__xludf.DUMMYFUNCTION("""COMPUTED_VALUE"""),1119.5)</f>
        <v>1119.5</v>
      </c>
      <c r="C1940" s="5">
        <f t="shared" ca="1" si="0"/>
        <v>3.1311386696584294E-2</v>
      </c>
    </row>
    <row r="1941" spans="1:3" ht="13" x14ac:dyDescent="0.15">
      <c r="A1941" s="3">
        <f ca="1">IFERROR(__xludf.DUMMYFUNCTION("""COMPUTED_VALUE"""),43255.6666666666)</f>
        <v>43255.666666666599</v>
      </c>
      <c r="B1941" s="4">
        <f ca="1">IFERROR(__xludf.DUMMYFUNCTION("""COMPUTED_VALUE"""),1139.29)</f>
        <v>1139.29</v>
      </c>
      <c r="C1941" s="5">
        <f t="shared" ca="1" si="0"/>
        <v>1.7523104307333025E-2</v>
      </c>
    </row>
    <row r="1942" spans="1:3" ht="13" x14ac:dyDescent="0.15">
      <c r="A1942" s="3">
        <f ca="1">IFERROR(__xludf.DUMMYFUNCTION("""COMPUTED_VALUE"""),43256.6666666666)</f>
        <v>43256.666666666599</v>
      </c>
      <c r="B1942" s="4">
        <f ca="1">IFERROR(__xludf.DUMMYFUNCTION("""COMPUTED_VALUE"""),1139.66)</f>
        <v>1139.6600000000001</v>
      </c>
      <c r="C1942" s="5">
        <f t="shared" ca="1" si="0"/>
        <v>3.2471094429555367E-4</v>
      </c>
    </row>
    <row r="1943" spans="1:3" ht="13" x14ac:dyDescent="0.15">
      <c r="A1943" s="3">
        <f ca="1">IFERROR(__xludf.DUMMYFUNCTION("""COMPUTED_VALUE"""),43257.6666666666)</f>
        <v>43257.666666666599</v>
      </c>
      <c r="B1943" s="4">
        <f ca="1">IFERROR(__xludf.DUMMYFUNCTION("""COMPUTED_VALUE"""),1136.88)</f>
        <v>1136.8800000000001</v>
      </c>
      <c r="C1943" s="5">
        <f t="shared" ca="1" si="0"/>
        <v>-2.4423040068318222E-3</v>
      </c>
    </row>
    <row r="1944" spans="1:3" ht="13" x14ac:dyDescent="0.15">
      <c r="A1944" s="3">
        <f ca="1">IFERROR(__xludf.DUMMYFUNCTION("""COMPUTED_VALUE"""),43258.6666666666)</f>
        <v>43258.666666666599</v>
      </c>
      <c r="B1944" s="4">
        <f ca="1">IFERROR(__xludf.DUMMYFUNCTION("""COMPUTED_VALUE"""),1123.86)</f>
        <v>1123.8599999999999</v>
      </c>
      <c r="C1944" s="5">
        <f t="shared" ca="1" si="0"/>
        <v>-1.1518479747750327E-2</v>
      </c>
    </row>
    <row r="1945" spans="1:3" ht="13" x14ac:dyDescent="0.15">
      <c r="A1945" s="3">
        <f ca="1">IFERROR(__xludf.DUMMYFUNCTION("""COMPUTED_VALUE"""),43259.6666666666)</f>
        <v>43259.666666666599</v>
      </c>
      <c r="B1945" s="4">
        <f ca="1">IFERROR(__xludf.DUMMYFUNCTION("""COMPUTED_VALUE"""),1120.87)</f>
        <v>1120.8699999999999</v>
      </c>
      <c r="C1945" s="5">
        <f t="shared" ca="1" si="0"/>
        <v>-2.6640190743074531E-3</v>
      </c>
    </row>
    <row r="1946" spans="1:3" ht="13" x14ac:dyDescent="0.15">
      <c r="A1946" s="3">
        <f ca="1">IFERROR(__xludf.DUMMYFUNCTION("""COMPUTED_VALUE"""),43262.6666666666)</f>
        <v>43262.666666666599</v>
      </c>
      <c r="B1946" s="4">
        <f ca="1">IFERROR(__xludf.DUMMYFUNCTION("""COMPUTED_VALUE"""),1129.99)</f>
        <v>1129.99</v>
      </c>
      <c r="C1946" s="5">
        <f t="shared" ca="1" si="0"/>
        <v>8.1036136481582484E-3</v>
      </c>
    </row>
    <row r="1947" spans="1:3" ht="13" x14ac:dyDescent="0.15">
      <c r="A1947" s="3">
        <f ca="1">IFERROR(__xludf.DUMMYFUNCTION("""COMPUTED_VALUE"""),43263.6666666666)</f>
        <v>43263.666666666599</v>
      </c>
      <c r="B1947" s="4">
        <f ca="1">IFERROR(__xludf.DUMMYFUNCTION("""COMPUTED_VALUE"""),1139.32)</f>
        <v>1139.32</v>
      </c>
      <c r="C1947" s="5">
        <f t="shared" ca="1" si="0"/>
        <v>8.2228100790959265E-3</v>
      </c>
    </row>
    <row r="1948" spans="1:3" ht="13" x14ac:dyDescent="0.15">
      <c r="A1948" s="3">
        <f ca="1">IFERROR(__xludf.DUMMYFUNCTION("""COMPUTED_VALUE"""),43264.6666666666)</f>
        <v>43264.666666666599</v>
      </c>
      <c r="B1948" s="4">
        <f ca="1">IFERROR(__xludf.DUMMYFUNCTION("""COMPUTED_VALUE"""),1134.79)</f>
        <v>1134.79</v>
      </c>
      <c r="C1948" s="5">
        <f t="shared" ca="1" si="0"/>
        <v>-3.98398141841787E-3</v>
      </c>
    </row>
    <row r="1949" spans="1:3" ht="13" x14ac:dyDescent="0.15">
      <c r="A1949" s="3">
        <f ca="1">IFERROR(__xludf.DUMMYFUNCTION("""COMPUTED_VALUE"""),43265.6666666666)</f>
        <v>43265.666666666599</v>
      </c>
      <c r="B1949" s="4">
        <f ca="1">IFERROR(__xludf.DUMMYFUNCTION("""COMPUTED_VALUE"""),1152.12)</f>
        <v>1152.1199999999999</v>
      </c>
      <c r="C1949" s="5">
        <f t="shared" ca="1" si="0"/>
        <v>1.5156111727148114E-2</v>
      </c>
    </row>
    <row r="1950" spans="1:3" ht="13" x14ac:dyDescent="0.15">
      <c r="A1950" s="3">
        <f ca="1">IFERROR(__xludf.DUMMYFUNCTION("""COMPUTED_VALUE"""),43266.6666666666)</f>
        <v>43266.666666666599</v>
      </c>
      <c r="B1950" s="4">
        <f ca="1">IFERROR(__xludf.DUMMYFUNCTION("""COMPUTED_VALUE"""),1152.26)</f>
        <v>1152.26</v>
      </c>
      <c r="C1950" s="5">
        <f t="shared" ca="1" si="0"/>
        <v>1.215077375888042E-4</v>
      </c>
    </row>
    <row r="1951" spans="1:3" ht="13" x14ac:dyDescent="0.15">
      <c r="A1951" s="3">
        <f ca="1">IFERROR(__xludf.DUMMYFUNCTION("""COMPUTED_VALUE"""),43269.6666666666)</f>
        <v>43269.666666666599</v>
      </c>
      <c r="B1951" s="4">
        <f ca="1">IFERROR(__xludf.DUMMYFUNCTION("""COMPUTED_VALUE"""),1173.46)</f>
        <v>1173.46</v>
      </c>
      <c r="C1951" s="5">
        <f t="shared" ca="1" si="0"/>
        <v>1.823141840769376E-2</v>
      </c>
    </row>
    <row r="1952" spans="1:3" ht="13" x14ac:dyDescent="0.15">
      <c r="A1952" s="3">
        <f ca="1">IFERROR(__xludf.DUMMYFUNCTION("""COMPUTED_VALUE"""),43270.6666666666)</f>
        <v>43270.666666666599</v>
      </c>
      <c r="B1952" s="4">
        <f ca="1">IFERROR(__xludf.DUMMYFUNCTION("""COMPUTED_VALUE"""),1168.06)</f>
        <v>1168.06</v>
      </c>
      <c r="C1952" s="5">
        <f t="shared" ca="1" si="0"/>
        <v>-4.6123967110152453E-3</v>
      </c>
    </row>
    <row r="1953" spans="1:3" ht="13" x14ac:dyDescent="0.15">
      <c r="A1953" s="3">
        <f ca="1">IFERROR(__xludf.DUMMYFUNCTION("""COMPUTED_VALUE"""),43271.6666666666)</f>
        <v>43271.666666666599</v>
      </c>
      <c r="B1953" s="4">
        <f ca="1">IFERROR(__xludf.DUMMYFUNCTION("""COMPUTED_VALUE"""),1169.84)</f>
        <v>1169.8399999999999</v>
      </c>
      <c r="C1953" s="5">
        <f t="shared" ca="1" si="0"/>
        <v>1.5227343718237348E-3</v>
      </c>
    </row>
    <row r="1954" spans="1:3" ht="13" x14ac:dyDescent="0.15">
      <c r="A1954" s="3">
        <f ca="1">IFERROR(__xludf.DUMMYFUNCTION("""COMPUTED_VALUE"""),43272.6666666666)</f>
        <v>43272.666666666599</v>
      </c>
      <c r="B1954" s="4">
        <f ca="1">IFERROR(__xludf.DUMMYFUNCTION("""COMPUTED_VALUE"""),1157.66)</f>
        <v>1157.6600000000001</v>
      </c>
      <c r="C1954" s="5">
        <f t="shared" ca="1" si="0"/>
        <v>-1.0466260954289593E-2</v>
      </c>
    </row>
    <row r="1955" spans="1:3" ht="13" x14ac:dyDescent="0.15">
      <c r="A1955" s="3">
        <f ca="1">IFERROR(__xludf.DUMMYFUNCTION("""COMPUTED_VALUE"""),43273.6666666666)</f>
        <v>43273.666666666599</v>
      </c>
      <c r="B1955" s="4">
        <f ca="1">IFERROR(__xludf.DUMMYFUNCTION("""COMPUTED_VALUE"""),1155.48)</f>
        <v>1155.48</v>
      </c>
      <c r="C1955" s="5">
        <f t="shared" ca="1" si="0"/>
        <v>-1.8848843091411494E-3</v>
      </c>
    </row>
    <row r="1956" spans="1:3" ht="13" x14ac:dyDescent="0.15">
      <c r="A1956" s="3">
        <f ca="1">IFERROR(__xludf.DUMMYFUNCTION("""COMPUTED_VALUE"""),43276.6666666666)</f>
        <v>43276.666666666599</v>
      </c>
      <c r="B1956" s="4">
        <f ca="1">IFERROR(__xludf.DUMMYFUNCTION("""COMPUTED_VALUE"""),1124.81)</f>
        <v>1124.81</v>
      </c>
      <c r="C1956" s="5">
        <f t="shared" ca="1" si="0"/>
        <v>-2.6901709553895699E-2</v>
      </c>
    </row>
    <row r="1957" spans="1:3" ht="13" x14ac:dyDescent="0.15">
      <c r="A1957" s="3">
        <f ca="1">IFERROR(__xludf.DUMMYFUNCTION("""COMPUTED_VALUE"""),43277.6666666666)</f>
        <v>43277.666666666599</v>
      </c>
      <c r="B1957" s="4">
        <f ca="1">IFERROR(__xludf.DUMMYFUNCTION("""COMPUTED_VALUE"""),1118.46)</f>
        <v>1118.46</v>
      </c>
      <c r="C1957" s="5">
        <f t="shared" ca="1" si="0"/>
        <v>-5.6613933770879605E-3</v>
      </c>
    </row>
    <row r="1958" spans="1:3" ht="13" x14ac:dyDescent="0.15">
      <c r="A1958" s="3">
        <f ca="1">IFERROR(__xludf.DUMMYFUNCTION("""COMPUTED_VALUE"""),43278.6666666666)</f>
        <v>43278.666666666599</v>
      </c>
      <c r="B1958" s="4">
        <f ca="1">IFERROR(__xludf.DUMMYFUNCTION("""COMPUTED_VALUE"""),1103.98)</f>
        <v>1103.98</v>
      </c>
      <c r="C1958" s="5">
        <f t="shared" ca="1" si="0"/>
        <v>-1.3030907378293224E-2</v>
      </c>
    </row>
    <row r="1959" spans="1:3" ht="13" x14ac:dyDescent="0.15">
      <c r="A1959" s="3">
        <f ca="1">IFERROR(__xludf.DUMMYFUNCTION("""COMPUTED_VALUE"""),43279.6666666666)</f>
        <v>43279.666666666599</v>
      </c>
      <c r="B1959" s="4">
        <f ca="1">IFERROR(__xludf.DUMMYFUNCTION("""COMPUTED_VALUE"""),1114.22)</f>
        <v>1114.22</v>
      </c>
      <c r="C1959" s="5">
        <f t="shared" ca="1" si="0"/>
        <v>9.2327767934236166E-3</v>
      </c>
    </row>
    <row r="1960" spans="1:3" ht="13" x14ac:dyDescent="0.15">
      <c r="A1960" s="3">
        <f ca="1">IFERROR(__xludf.DUMMYFUNCTION("""COMPUTED_VALUE"""),43280.6666666666)</f>
        <v>43280.666666666599</v>
      </c>
      <c r="B1960" s="4">
        <f ca="1">IFERROR(__xludf.DUMMYFUNCTION("""COMPUTED_VALUE"""),1115.65)</f>
        <v>1115.6500000000001</v>
      </c>
      <c r="C1960" s="5">
        <f t="shared" ca="1" si="0"/>
        <v>1.2825861561726753E-3</v>
      </c>
    </row>
    <row r="1961" spans="1:3" ht="13" x14ac:dyDescent="0.15">
      <c r="A1961" s="3">
        <f ca="1">IFERROR(__xludf.DUMMYFUNCTION("""COMPUTED_VALUE"""),43283.6666666666)</f>
        <v>43283.666666666599</v>
      </c>
      <c r="B1961" s="4">
        <f ca="1">IFERROR(__xludf.DUMMYFUNCTION("""COMPUTED_VALUE"""),1127.46)</f>
        <v>1127.46</v>
      </c>
      <c r="C1961" s="5">
        <f t="shared" ca="1" si="0"/>
        <v>1.0530120348603962E-2</v>
      </c>
    </row>
    <row r="1962" spans="1:3" ht="13" x14ac:dyDescent="0.15">
      <c r="A1962" s="3">
        <f ca="1">IFERROR(__xludf.DUMMYFUNCTION("""COMPUTED_VALUE"""),43284.5416666666)</f>
        <v>43284.541666666599</v>
      </c>
      <c r="B1962" s="4">
        <f ca="1">IFERROR(__xludf.DUMMYFUNCTION("""COMPUTED_VALUE"""),1102.89)</f>
        <v>1102.8900000000001</v>
      </c>
      <c r="C1962" s="5">
        <f t="shared" ca="1" si="0"/>
        <v>-2.2033307763288667E-2</v>
      </c>
    </row>
    <row r="1963" spans="1:3" ht="13" x14ac:dyDescent="0.15">
      <c r="A1963" s="3">
        <f ca="1">IFERROR(__xludf.DUMMYFUNCTION("""COMPUTED_VALUE"""),43286.6666666666)</f>
        <v>43286.666666666599</v>
      </c>
      <c r="B1963" s="4">
        <f ca="1">IFERROR(__xludf.DUMMYFUNCTION("""COMPUTED_VALUE"""),1124.27)</f>
        <v>1124.27</v>
      </c>
      <c r="C1963" s="5">
        <f t="shared" ca="1" si="0"/>
        <v>1.9199928864291529E-2</v>
      </c>
    </row>
    <row r="1964" spans="1:3" ht="13" x14ac:dyDescent="0.15">
      <c r="A1964" s="3">
        <f ca="1">IFERROR(__xludf.DUMMYFUNCTION("""COMPUTED_VALUE"""),43287.6666666666)</f>
        <v>43287.666666666599</v>
      </c>
      <c r="B1964" s="4">
        <f ca="1">IFERROR(__xludf.DUMMYFUNCTION("""COMPUTED_VALUE"""),1140.17)</f>
        <v>1140.17</v>
      </c>
      <c r="C1964" s="5">
        <f t="shared" ca="1" si="0"/>
        <v>1.4043437947739065E-2</v>
      </c>
    </row>
    <row r="1965" spans="1:3" ht="13" x14ac:dyDescent="0.15">
      <c r="A1965" s="3">
        <f ca="1">IFERROR(__xludf.DUMMYFUNCTION("""COMPUTED_VALUE"""),43290.6666666666)</f>
        <v>43290.666666666599</v>
      </c>
      <c r="B1965" s="4">
        <f ca="1">IFERROR(__xludf.DUMMYFUNCTION("""COMPUTED_VALUE"""),1154.05)</f>
        <v>1154.05</v>
      </c>
      <c r="C1965" s="5">
        <f t="shared" ca="1" si="0"/>
        <v>1.2100120607900916E-2</v>
      </c>
    </row>
    <row r="1966" spans="1:3" ht="13" x14ac:dyDescent="0.15">
      <c r="A1966" s="3">
        <f ca="1">IFERROR(__xludf.DUMMYFUNCTION("""COMPUTED_VALUE"""),43291.6666666666)</f>
        <v>43291.666666666599</v>
      </c>
      <c r="B1966" s="4">
        <f ca="1">IFERROR(__xludf.DUMMYFUNCTION("""COMPUTED_VALUE"""),1152.84)</f>
        <v>1152.8399999999999</v>
      </c>
      <c r="C1966" s="5">
        <f t="shared" ca="1" si="0"/>
        <v>-1.0490314761118053E-3</v>
      </c>
    </row>
    <row r="1967" spans="1:3" ht="13" x14ac:dyDescent="0.15">
      <c r="A1967" s="3">
        <f ca="1">IFERROR(__xludf.DUMMYFUNCTION("""COMPUTED_VALUE"""),43292.6666666666)</f>
        <v>43292.666666666599</v>
      </c>
      <c r="B1967" s="4">
        <f ca="1">IFERROR(__xludf.DUMMYFUNCTION("""COMPUTED_VALUE"""),1153.9)</f>
        <v>1153.9000000000001</v>
      </c>
      <c r="C1967" s="5">
        <f t="shared" ca="1" si="0"/>
        <v>9.1904599097476368E-4</v>
      </c>
    </row>
    <row r="1968" spans="1:3" ht="13" x14ac:dyDescent="0.15">
      <c r="A1968" s="3">
        <f ca="1">IFERROR(__xludf.DUMMYFUNCTION("""COMPUTED_VALUE"""),43293.6666666666)</f>
        <v>43293.666666666599</v>
      </c>
      <c r="B1968" s="4">
        <f ca="1">IFERROR(__xludf.DUMMYFUNCTION("""COMPUTED_VALUE"""),1183.48)</f>
        <v>1183.48</v>
      </c>
      <c r="C1968" s="5">
        <f t="shared" ca="1" si="0"/>
        <v>2.5311741582320559E-2</v>
      </c>
    </row>
    <row r="1969" spans="1:3" ht="13" x14ac:dyDescent="0.15">
      <c r="A1969" s="3">
        <f ca="1">IFERROR(__xludf.DUMMYFUNCTION("""COMPUTED_VALUE"""),43294.6666666666)</f>
        <v>43294.666666666599</v>
      </c>
      <c r="B1969" s="4">
        <f ca="1">IFERROR(__xludf.DUMMYFUNCTION("""COMPUTED_VALUE"""),1188.82)</f>
        <v>1188.82</v>
      </c>
      <c r="C1969" s="5">
        <f t="shared" ca="1" si="0"/>
        <v>4.5019677267877896E-3</v>
      </c>
    </row>
    <row r="1970" spans="1:3" ht="13" x14ac:dyDescent="0.15">
      <c r="A1970" s="3">
        <f ca="1">IFERROR(__xludf.DUMMYFUNCTION("""COMPUTED_VALUE"""),43297.6666666666)</f>
        <v>43297.666666666599</v>
      </c>
      <c r="B1970" s="4">
        <f ca="1">IFERROR(__xludf.DUMMYFUNCTION("""COMPUTED_VALUE"""),1183.86)</f>
        <v>1183.8599999999999</v>
      </c>
      <c r="C1970" s="5">
        <f t="shared" ca="1" si="0"/>
        <v>-4.1809323003060605E-3</v>
      </c>
    </row>
    <row r="1971" spans="1:3" ht="13" x14ac:dyDescent="0.15">
      <c r="A1971" s="3">
        <f ca="1">IFERROR(__xludf.DUMMYFUNCTION("""COMPUTED_VALUE"""),43298.6666666666)</f>
        <v>43298.666666666599</v>
      </c>
      <c r="B1971" s="4">
        <f ca="1">IFERROR(__xludf.DUMMYFUNCTION("""COMPUTED_VALUE"""),1198.8)</f>
        <v>1198.8</v>
      </c>
      <c r="C1971" s="5">
        <f t="shared" ca="1" si="0"/>
        <v>1.2540770233083878E-2</v>
      </c>
    </row>
    <row r="1972" spans="1:3" ht="13" x14ac:dyDescent="0.15">
      <c r="A1972" s="3">
        <f ca="1">IFERROR(__xludf.DUMMYFUNCTION("""COMPUTED_VALUE"""),43299.6666666666)</f>
        <v>43299.666666666599</v>
      </c>
      <c r="B1972" s="4">
        <f ca="1">IFERROR(__xludf.DUMMYFUNCTION("""COMPUTED_VALUE"""),1195.88)</f>
        <v>1195.8800000000001</v>
      </c>
      <c r="C1972" s="5">
        <f t="shared" ca="1" si="0"/>
        <v>-2.438740413928915E-3</v>
      </c>
    </row>
    <row r="1973" spans="1:3" ht="13" x14ac:dyDescent="0.15">
      <c r="A1973" s="3">
        <f ca="1">IFERROR(__xludf.DUMMYFUNCTION("""COMPUTED_VALUE"""),43300.6666666666)</f>
        <v>43300.666666666599</v>
      </c>
      <c r="B1973" s="4">
        <f ca="1">IFERROR(__xludf.DUMMYFUNCTION("""COMPUTED_VALUE"""),1186.96)</f>
        <v>1186.96</v>
      </c>
      <c r="C1973" s="5">
        <f t="shared" ca="1" si="0"/>
        <v>-7.4868993860409431E-3</v>
      </c>
    </row>
    <row r="1974" spans="1:3" ht="13" x14ac:dyDescent="0.15">
      <c r="A1974" s="3">
        <f ca="1">IFERROR(__xludf.DUMMYFUNCTION("""COMPUTED_VALUE"""),43301.6666666666)</f>
        <v>43301.666666666599</v>
      </c>
      <c r="B1974" s="4">
        <f ca="1">IFERROR(__xludf.DUMMYFUNCTION("""COMPUTED_VALUE"""),1184.91)</f>
        <v>1184.9100000000001</v>
      </c>
      <c r="C1974" s="5">
        <f t="shared" ca="1" si="0"/>
        <v>-1.7285943246943809E-3</v>
      </c>
    </row>
    <row r="1975" spans="1:3" ht="13" x14ac:dyDescent="0.15">
      <c r="A1975" s="3">
        <f ca="1">IFERROR(__xludf.DUMMYFUNCTION("""COMPUTED_VALUE"""),43304.6666666666)</f>
        <v>43304.666666666599</v>
      </c>
      <c r="B1975" s="4">
        <f ca="1">IFERROR(__xludf.DUMMYFUNCTION("""COMPUTED_VALUE"""),1205.5)</f>
        <v>1205.5</v>
      </c>
      <c r="C1975" s="5">
        <f t="shared" ca="1" si="0"/>
        <v>1.7227596303382026E-2</v>
      </c>
    </row>
    <row r="1976" spans="1:3" ht="13" x14ac:dyDescent="0.15">
      <c r="A1976" s="3">
        <f ca="1">IFERROR(__xludf.DUMMYFUNCTION("""COMPUTED_VALUE"""),43305.6666666666)</f>
        <v>43305.666666666599</v>
      </c>
      <c r="B1976" s="4">
        <f ca="1">IFERROR(__xludf.DUMMYFUNCTION("""COMPUTED_VALUE"""),1248.08)</f>
        <v>1248.08</v>
      </c>
      <c r="C1976" s="5">
        <f t="shared" ca="1" si="0"/>
        <v>3.4711951817768198E-2</v>
      </c>
    </row>
    <row r="1977" spans="1:3" ht="13" x14ac:dyDescent="0.15">
      <c r="A1977" s="3">
        <f ca="1">IFERROR(__xludf.DUMMYFUNCTION("""COMPUTED_VALUE"""),43306.6666666666)</f>
        <v>43306.666666666599</v>
      </c>
      <c r="B1977" s="4">
        <f ca="1">IFERROR(__xludf.DUMMYFUNCTION("""COMPUTED_VALUE"""),1263.7)</f>
        <v>1263.7</v>
      </c>
      <c r="C1977" s="5">
        <f t="shared" ca="1" si="0"/>
        <v>1.2437555325641121E-2</v>
      </c>
    </row>
    <row r="1978" spans="1:3" ht="13" x14ac:dyDescent="0.15">
      <c r="A1978" s="3">
        <f ca="1">IFERROR(__xludf.DUMMYFUNCTION("""COMPUTED_VALUE"""),43307.6666666666)</f>
        <v>43307.666666666599</v>
      </c>
      <c r="B1978" s="4">
        <f ca="1">IFERROR(__xludf.DUMMYFUNCTION("""COMPUTED_VALUE"""),1268.33)</f>
        <v>1268.33</v>
      </c>
      <c r="C1978" s="5">
        <f t="shared" ca="1" si="0"/>
        <v>3.6571487386942037E-3</v>
      </c>
    </row>
    <row r="1979" spans="1:3" ht="13" x14ac:dyDescent="0.15">
      <c r="A1979" s="3">
        <f ca="1">IFERROR(__xludf.DUMMYFUNCTION("""COMPUTED_VALUE"""),43308.6666666666)</f>
        <v>43308.666666666599</v>
      </c>
      <c r="B1979" s="4">
        <f ca="1">IFERROR(__xludf.DUMMYFUNCTION("""COMPUTED_VALUE"""),1238.5)</f>
        <v>1238.5</v>
      </c>
      <c r="C1979" s="5">
        <f t="shared" ca="1" si="0"/>
        <v>-2.380010457391514E-2</v>
      </c>
    </row>
    <row r="1980" spans="1:3" ht="13" x14ac:dyDescent="0.15">
      <c r="A1980" s="3">
        <f ca="1">IFERROR(__xludf.DUMMYFUNCTION("""COMPUTED_VALUE"""),43311.6666666666)</f>
        <v>43311.666666666599</v>
      </c>
      <c r="B1980" s="4">
        <f ca="1">IFERROR(__xludf.DUMMYFUNCTION("""COMPUTED_VALUE"""),1219.74)</f>
        <v>1219.74</v>
      </c>
      <c r="C1980" s="5">
        <f t="shared" ca="1" si="0"/>
        <v>-1.5263248668386463E-2</v>
      </c>
    </row>
    <row r="1981" spans="1:3" ht="13" x14ac:dyDescent="0.15">
      <c r="A1981" s="3">
        <f ca="1">IFERROR(__xludf.DUMMYFUNCTION("""COMPUTED_VALUE"""),43312.6666666666)</f>
        <v>43312.666666666599</v>
      </c>
      <c r="B1981" s="4">
        <f ca="1">IFERROR(__xludf.DUMMYFUNCTION("""COMPUTED_VALUE"""),1217.26)</f>
        <v>1217.26</v>
      </c>
      <c r="C1981" s="5">
        <f t="shared" ca="1" si="0"/>
        <v>-2.0352899926935632E-3</v>
      </c>
    </row>
    <row r="1982" spans="1:3" ht="13" x14ac:dyDescent="0.15">
      <c r="A1982" s="3">
        <f ca="1">IFERROR(__xludf.DUMMYFUNCTION("""COMPUTED_VALUE"""),43313.6666666666)</f>
        <v>43313.666666666599</v>
      </c>
      <c r="B1982" s="4">
        <f ca="1">IFERROR(__xludf.DUMMYFUNCTION("""COMPUTED_VALUE"""),1220.01)</f>
        <v>1220.01</v>
      </c>
      <c r="C1982" s="5">
        <f t="shared" ca="1" si="0"/>
        <v>2.2566241466865284E-3</v>
      </c>
    </row>
    <row r="1983" spans="1:3" ht="13" x14ac:dyDescent="0.15">
      <c r="A1983" s="3">
        <f ca="1">IFERROR(__xludf.DUMMYFUNCTION("""COMPUTED_VALUE"""),43314.6666666666)</f>
        <v>43314.666666666599</v>
      </c>
      <c r="B1983" s="4">
        <f ca="1">IFERROR(__xludf.DUMMYFUNCTION("""COMPUTED_VALUE"""),1226.15)</f>
        <v>1226.1500000000001</v>
      </c>
      <c r="C1983" s="5">
        <f t="shared" ca="1" si="0"/>
        <v>5.0201236998682602E-3</v>
      </c>
    </row>
    <row r="1984" spans="1:3" ht="13" x14ac:dyDescent="0.15">
      <c r="A1984" s="3">
        <f ca="1">IFERROR(__xludf.DUMMYFUNCTION("""COMPUTED_VALUE"""),43315.6666666666)</f>
        <v>43315.666666666599</v>
      </c>
      <c r="B1984" s="4">
        <f ca="1">IFERROR(__xludf.DUMMYFUNCTION("""COMPUTED_VALUE"""),1223.71)</f>
        <v>1223.71</v>
      </c>
      <c r="C1984" s="5">
        <f t="shared" ca="1" si="0"/>
        <v>-1.9919512190901666E-3</v>
      </c>
    </row>
    <row r="1985" spans="1:3" ht="13" x14ac:dyDescent="0.15">
      <c r="A1985" s="3">
        <f ca="1">IFERROR(__xludf.DUMMYFUNCTION("""COMPUTED_VALUE"""),43318.6666666666)</f>
        <v>43318.666666666599</v>
      </c>
      <c r="B1985" s="4">
        <f ca="1">IFERROR(__xludf.DUMMYFUNCTION("""COMPUTED_VALUE"""),1224.77)</f>
        <v>1224.77</v>
      </c>
      <c r="C1985" s="5">
        <f t="shared" ca="1" si="0"/>
        <v>8.6584335279196257E-4</v>
      </c>
    </row>
    <row r="1986" spans="1:3" ht="13" x14ac:dyDescent="0.15">
      <c r="A1986" s="3">
        <f ca="1">IFERROR(__xludf.DUMMYFUNCTION("""COMPUTED_VALUE"""),43319.6666666666)</f>
        <v>43319.666666666599</v>
      </c>
      <c r="B1986" s="4">
        <f ca="1">IFERROR(__xludf.DUMMYFUNCTION("""COMPUTED_VALUE"""),1242.22)</f>
        <v>1242.22</v>
      </c>
      <c r="C1986" s="5">
        <f t="shared" ca="1" si="0"/>
        <v>1.414703021391433E-2</v>
      </c>
    </row>
    <row r="1987" spans="1:3" ht="13" x14ac:dyDescent="0.15">
      <c r="A1987" s="3">
        <f ca="1">IFERROR(__xludf.DUMMYFUNCTION("""COMPUTED_VALUE"""),43320.6666666666)</f>
        <v>43320.666666666599</v>
      </c>
      <c r="B1987" s="4">
        <f ca="1">IFERROR(__xludf.DUMMYFUNCTION("""COMPUTED_VALUE"""),1245.61)</f>
        <v>1245.6099999999999</v>
      </c>
      <c r="C1987" s="5">
        <f t="shared" ca="1" si="0"/>
        <v>2.7252682845304321E-3</v>
      </c>
    </row>
    <row r="1988" spans="1:3" ht="13" x14ac:dyDescent="0.15">
      <c r="A1988" s="3">
        <f ca="1">IFERROR(__xludf.DUMMYFUNCTION("""COMPUTED_VALUE"""),43321.6666666666)</f>
        <v>43321.666666666599</v>
      </c>
      <c r="B1988" s="4">
        <f ca="1">IFERROR(__xludf.DUMMYFUNCTION("""COMPUTED_VALUE"""),1249.1)</f>
        <v>1249.0999999999999</v>
      </c>
      <c r="C1988" s="5">
        <f t="shared" ca="1" si="0"/>
        <v>2.7979222248280615E-3</v>
      </c>
    </row>
    <row r="1989" spans="1:3" ht="13" x14ac:dyDescent="0.15">
      <c r="A1989" s="3">
        <f ca="1">IFERROR(__xludf.DUMMYFUNCTION("""COMPUTED_VALUE"""),43322.6666666666)</f>
        <v>43322.666666666599</v>
      </c>
      <c r="B1989" s="4">
        <f ca="1">IFERROR(__xludf.DUMMYFUNCTION("""COMPUTED_VALUE"""),1237.61)</f>
        <v>1237.6099999999999</v>
      </c>
      <c r="C1989" s="5">
        <f t="shared" ca="1" si="0"/>
        <v>-9.2411915905125704E-3</v>
      </c>
    </row>
    <row r="1990" spans="1:3" ht="13" x14ac:dyDescent="0.15">
      <c r="A1990" s="3">
        <f ca="1">IFERROR(__xludf.DUMMYFUNCTION("""COMPUTED_VALUE"""),43325.6666666666)</f>
        <v>43325.666666666599</v>
      </c>
      <c r="B1990" s="4">
        <f ca="1">IFERROR(__xludf.DUMMYFUNCTION("""COMPUTED_VALUE"""),1235.01)</f>
        <v>1235.01</v>
      </c>
      <c r="C1990" s="5">
        <f t="shared" ca="1" si="0"/>
        <v>-2.1030331860633789E-3</v>
      </c>
    </row>
    <row r="1991" spans="1:3" ht="13" x14ac:dyDescent="0.15">
      <c r="A1991" s="3">
        <f ca="1">IFERROR(__xludf.DUMMYFUNCTION("""COMPUTED_VALUE"""),43326.6666666666)</f>
        <v>43326.666666666599</v>
      </c>
      <c r="B1991" s="4">
        <f ca="1">IFERROR(__xludf.DUMMYFUNCTION("""COMPUTED_VALUE"""),1242.1)</f>
        <v>1242.0999999999999</v>
      </c>
      <c r="C1991" s="5">
        <f t="shared" ca="1" si="0"/>
        <v>5.7244283548603808E-3</v>
      </c>
    </row>
    <row r="1992" spans="1:3" ht="13" x14ac:dyDescent="0.15">
      <c r="A1992" s="3">
        <f ca="1">IFERROR(__xludf.DUMMYFUNCTION("""COMPUTED_VALUE"""),43327.6666666666)</f>
        <v>43327.666666666599</v>
      </c>
      <c r="B1992" s="4">
        <f ca="1">IFERROR(__xludf.DUMMYFUNCTION("""COMPUTED_VALUE"""),1214.38)</f>
        <v>1214.3800000000001</v>
      </c>
      <c r="C1992" s="5">
        <f t="shared" ca="1" si="0"/>
        <v>-2.2569837082606636E-2</v>
      </c>
    </row>
    <row r="1993" spans="1:3" ht="13" x14ac:dyDescent="0.15">
      <c r="A1993" s="3">
        <f ca="1">IFERROR(__xludf.DUMMYFUNCTION("""COMPUTED_VALUE"""),43328.6666666666)</f>
        <v>43328.666666666599</v>
      </c>
      <c r="B1993" s="4">
        <f ca="1">IFERROR(__xludf.DUMMYFUNCTION("""COMPUTED_VALUE"""),1206.49)</f>
        <v>1206.49</v>
      </c>
      <c r="C1993" s="5">
        <f t="shared" ca="1" si="0"/>
        <v>-6.5183408744336792E-3</v>
      </c>
    </row>
    <row r="1994" spans="1:3" ht="13" x14ac:dyDescent="0.15">
      <c r="A1994" s="3">
        <f ca="1">IFERROR(__xludf.DUMMYFUNCTION("""COMPUTED_VALUE"""),43329.6666666666)</f>
        <v>43329.666666666599</v>
      </c>
      <c r="B1994" s="4">
        <f ca="1">IFERROR(__xludf.DUMMYFUNCTION("""COMPUTED_VALUE"""),1200.96)</f>
        <v>1200.96</v>
      </c>
      <c r="C1994" s="5">
        <f t="shared" ca="1" si="0"/>
        <v>-4.59408064645164E-3</v>
      </c>
    </row>
    <row r="1995" spans="1:3" ht="13" x14ac:dyDescent="0.15">
      <c r="A1995" s="3">
        <f ca="1">IFERROR(__xludf.DUMMYFUNCTION("""COMPUTED_VALUE"""),43332.6666666666)</f>
        <v>43332.666666666599</v>
      </c>
      <c r="B1995" s="4">
        <f ca="1">IFERROR(__xludf.DUMMYFUNCTION("""COMPUTED_VALUE"""),1207.77)</f>
        <v>1207.77</v>
      </c>
      <c r="C1995" s="5">
        <f t="shared" ca="1" si="0"/>
        <v>5.6544470692342112E-3</v>
      </c>
    </row>
    <row r="1996" spans="1:3" ht="13" x14ac:dyDescent="0.15">
      <c r="A1996" s="3">
        <f ca="1">IFERROR(__xludf.DUMMYFUNCTION("""COMPUTED_VALUE"""),43333.6666666666)</f>
        <v>43333.666666666599</v>
      </c>
      <c r="B1996" s="4">
        <f ca="1">IFERROR(__xludf.DUMMYFUNCTION("""COMPUTED_VALUE"""),1201.62)</f>
        <v>1201.6199999999999</v>
      </c>
      <c r="C1996" s="5">
        <f t="shared" ca="1" si="0"/>
        <v>-5.1050376705030782E-3</v>
      </c>
    </row>
    <row r="1997" spans="1:3" ht="13" x14ac:dyDescent="0.15">
      <c r="A1997" s="3">
        <f ca="1">IFERROR(__xludf.DUMMYFUNCTION("""COMPUTED_VALUE"""),43334.6666666666)</f>
        <v>43334.666666666599</v>
      </c>
      <c r="B1997" s="4">
        <f ca="1">IFERROR(__xludf.DUMMYFUNCTION("""COMPUTED_VALUE"""),1207.33)</f>
        <v>1207.33</v>
      </c>
      <c r="C1997" s="5">
        <f t="shared" ca="1" si="0"/>
        <v>4.7406635204734898E-3</v>
      </c>
    </row>
    <row r="1998" spans="1:3" ht="13" x14ac:dyDescent="0.15">
      <c r="A1998" s="3">
        <f ca="1">IFERROR(__xludf.DUMMYFUNCTION("""COMPUTED_VALUE"""),43335.6666666666)</f>
        <v>43335.666666666599</v>
      </c>
      <c r="B1998" s="4">
        <f ca="1">IFERROR(__xludf.DUMMYFUNCTION("""COMPUTED_VALUE"""),1205.38)</f>
        <v>1205.3800000000001</v>
      </c>
      <c r="C1998" s="5">
        <f t="shared" ca="1" si="0"/>
        <v>-1.6164399572202958E-3</v>
      </c>
    </row>
    <row r="1999" spans="1:3" ht="13" x14ac:dyDescent="0.15">
      <c r="A1999" s="3">
        <f ca="1">IFERROR(__xludf.DUMMYFUNCTION("""COMPUTED_VALUE"""),43336.6666666666)</f>
        <v>43336.666666666599</v>
      </c>
      <c r="B1999" s="4">
        <f ca="1">IFERROR(__xludf.DUMMYFUNCTION("""COMPUTED_VALUE"""),1220.65)</f>
        <v>1220.6500000000001</v>
      </c>
      <c r="C1999" s="5">
        <f t="shared" ca="1" si="0"/>
        <v>1.2588633823367872E-2</v>
      </c>
    </row>
    <row r="2000" spans="1:3" ht="13" x14ac:dyDescent="0.15">
      <c r="A2000" s="3">
        <f ca="1">IFERROR(__xludf.DUMMYFUNCTION("""COMPUTED_VALUE"""),43339.6666666666)</f>
        <v>43339.666666666599</v>
      </c>
      <c r="B2000" s="4">
        <f ca="1">IFERROR(__xludf.DUMMYFUNCTION("""COMPUTED_VALUE"""),1241.82)</f>
        <v>1241.82</v>
      </c>
      <c r="C2000" s="5">
        <f t="shared" ca="1" si="0"/>
        <v>1.7194541722173703E-2</v>
      </c>
    </row>
    <row r="2001" spans="1:3" ht="13" x14ac:dyDescent="0.15">
      <c r="A2001" s="3">
        <f ca="1">IFERROR(__xludf.DUMMYFUNCTION("""COMPUTED_VALUE"""),43340.6666666666)</f>
        <v>43340.666666666599</v>
      </c>
      <c r="B2001" s="4">
        <f ca="1">IFERROR(__xludf.DUMMYFUNCTION("""COMPUTED_VALUE"""),1231.15)</f>
        <v>1231.1500000000001</v>
      </c>
      <c r="C2001" s="5">
        <f t="shared" ca="1" si="0"/>
        <v>-8.629353540377591E-3</v>
      </c>
    </row>
    <row r="2002" spans="1:3" ht="13" x14ac:dyDescent="0.15">
      <c r="A2002" s="3">
        <f ca="1">IFERROR(__xludf.DUMMYFUNCTION("""COMPUTED_VALUE"""),43341.6666666666)</f>
        <v>43341.666666666599</v>
      </c>
      <c r="B2002" s="4">
        <f ca="1">IFERROR(__xludf.DUMMYFUNCTION("""COMPUTED_VALUE"""),1249.3)</f>
        <v>1249.3</v>
      </c>
      <c r="C2002" s="5">
        <f t="shared" ca="1" si="0"/>
        <v>1.4634702523979167E-2</v>
      </c>
    </row>
    <row r="2003" spans="1:3" ht="13" x14ac:dyDescent="0.15">
      <c r="A2003" s="3">
        <f ca="1">IFERROR(__xludf.DUMMYFUNCTION("""COMPUTED_VALUE"""),43342.6666666666)</f>
        <v>43342.666666666599</v>
      </c>
      <c r="B2003" s="4">
        <f ca="1">IFERROR(__xludf.DUMMYFUNCTION("""COMPUTED_VALUE"""),1239.12)</f>
        <v>1239.1199999999999</v>
      </c>
      <c r="C2003" s="5">
        <f t="shared" ca="1" si="0"/>
        <v>-8.1819441982802447E-3</v>
      </c>
    </row>
    <row r="2004" spans="1:3" ht="13" x14ac:dyDescent="0.15">
      <c r="A2004" s="3">
        <f ca="1">IFERROR(__xludf.DUMMYFUNCTION("""COMPUTED_VALUE"""),43343.6666666666)</f>
        <v>43343.666666666599</v>
      </c>
      <c r="B2004" s="4">
        <f ca="1">IFERROR(__xludf.DUMMYFUNCTION("""COMPUTED_VALUE"""),1218.19)</f>
        <v>1218.19</v>
      </c>
      <c r="C2004" s="5">
        <f t="shared" ca="1" si="0"/>
        <v>-1.7035299703515618E-2</v>
      </c>
    </row>
    <row r="2005" spans="1:3" ht="13" x14ac:dyDescent="0.15">
      <c r="A2005" s="3">
        <f ca="1">IFERROR(__xludf.DUMMYFUNCTION("""COMPUTED_VALUE"""),43347.6666666666)</f>
        <v>43347.666666666599</v>
      </c>
      <c r="B2005" s="4">
        <f ca="1">IFERROR(__xludf.DUMMYFUNCTION("""COMPUTED_VALUE"""),1197)</f>
        <v>1197</v>
      </c>
      <c r="C2005" s="5">
        <f t="shared" ca="1" si="0"/>
        <v>-1.7547723978014493E-2</v>
      </c>
    </row>
    <row r="2006" spans="1:3" ht="13" x14ac:dyDescent="0.15">
      <c r="A2006" s="3">
        <f ca="1">IFERROR(__xludf.DUMMYFUNCTION("""COMPUTED_VALUE"""),43348.6666666666)</f>
        <v>43348.666666666599</v>
      </c>
      <c r="B2006" s="4">
        <f ca="1">IFERROR(__xludf.DUMMYFUNCTION("""COMPUTED_VALUE"""),1186.48)</f>
        <v>1186.48</v>
      </c>
      <c r="C2006" s="5">
        <f t="shared" ca="1" si="0"/>
        <v>-8.8274861242660391E-3</v>
      </c>
    </row>
    <row r="2007" spans="1:3" ht="13" x14ac:dyDescent="0.15">
      <c r="A2007" s="3">
        <f ca="1">IFERROR(__xludf.DUMMYFUNCTION("""COMPUTED_VALUE"""),43349.6666666666)</f>
        <v>43349.666666666599</v>
      </c>
      <c r="B2007" s="4">
        <f ca="1">IFERROR(__xludf.DUMMYFUNCTION("""COMPUTED_VALUE"""),1171.44)</f>
        <v>1171.44</v>
      </c>
      <c r="C2007" s="5">
        <f t="shared" ca="1" si="0"/>
        <v>-1.2757179186705303E-2</v>
      </c>
    </row>
    <row r="2008" spans="1:3" ht="13" x14ac:dyDescent="0.15">
      <c r="A2008" s="3">
        <f ca="1">IFERROR(__xludf.DUMMYFUNCTION("""COMPUTED_VALUE"""),43350.6666666666)</f>
        <v>43350.666666666599</v>
      </c>
      <c r="B2008" s="4">
        <f ca="1">IFERROR(__xludf.DUMMYFUNCTION("""COMPUTED_VALUE"""),1164.83)</f>
        <v>1164.83</v>
      </c>
      <c r="C2008" s="5">
        <f t="shared" ca="1" si="0"/>
        <v>-5.6586076417419412E-3</v>
      </c>
    </row>
    <row r="2009" spans="1:3" ht="13" x14ac:dyDescent="0.15">
      <c r="A2009" s="3">
        <f ca="1">IFERROR(__xludf.DUMMYFUNCTION("""COMPUTED_VALUE"""),43353.6666666666)</f>
        <v>43353.666666666599</v>
      </c>
      <c r="B2009" s="4">
        <f ca="1">IFERROR(__xludf.DUMMYFUNCTION("""COMPUTED_VALUE"""),1164.64)</f>
        <v>1164.6400000000001</v>
      </c>
      <c r="C2009" s="5">
        <f t="shared" ca="1" si="0"/>
        <v>-1.631272353120473E-4</v>
      </c>
    </row>
    <row r="2010" spans="1:3" ht="13" x14ac:dyDescent="0.15">
      <c r="A2010" s="3">
        <f ca="1">IFERROR(__xludf.DUMMYFUNCTION("""COMPUTED_VALUE"""),43354.6666666666)</f>
        <v>43354.666666666599</v>
      </c>
      <c r="B2010" s="4">
        <f ca="1">IFERROR(__xludf.DUMMYFUNCTION("""COMPUTED_VALUE"""),1177.36)</f>
        <v>1177.3599999999999</v>
      </c>
      <c r="C2010" s="5">
        <f t="shared" ca="1" si="0"/>
        <v>1.086261748590954E-2</v>
      </c>
    </row>
    <row r="2011" spans="1:3" ht="13" x14ac:dyDescent="0.15">
      <c r="A2011" s="3">
        <f ca="1">IFERROR(__xludf.DUMMYFUNCTION("""COMPUTED_VALUE"""),43355.6666666666)</f>
        <v>43355.666666666599</v>
      </c>
      <c r="B2011" s="4">
        <f ca="1">IFERROR(__xludf.DUMMYFUNCTION("""COMPUTED_VALUE"""),1162.82)</f>
        <v>1162.82</v>
      </c>
      <c r="C2011" s="5">
        <f t="shared" ca="1" si="0"/>
        <v>-1.24265544566514E-2</v>
      </c>
    </row>
    <row r="2012" spans="1:3" ht="13" x14ac:dyDescent="0.15">
      <c r="A2012" s="3">
        <f ca="1">IFERROR(__xludf.DUMMYFUNCTION("""COMPUTED_VALUE"""),43356.6666666666)</f>
        <v>43356.666666666599</v>
      </c>
      <c r="B2012" s="4">
        <f ca="1">IFERROR(__xludf.DUMMYFUNCTION("""COMPUTED_VALUE"""),1175.33)</f>
        <v>1175.33</v>
      </c>
      <c r="C2012" s="5">
        <f t="shared" ca="1" si="0"/>
        <v>1.0700869811605668E-2</v>
      </c>
    </row>
    <row r="2013" spans="1:3" ht="13" x14ac:dyDescent="0.15">
      <c r="A2013" s="3">
        <f ca="1">IFERROR(__xludf.DUMMYFUNCTION("""COMPUTED_VALUE"""),43357.6666666666)</f>
        <v>43357.666666666599</v>
      </c>
      <c r="B2013" s="4">
        <f ca="1">IFERROR(__xludf.DUMMYFUNCTION("""COMPUTED_VALUE"""),1172.53)</f>
        <v>1172.53</v>
      </c>
      <c r="C2013" s="5">
        <f t="shared" ca="1" si="0"/>
        <v>-2.3851518637579023E-3</v>
      </c>
    </row>
    <row r="2014" spans="1:3" ht="13" x14ac:dyDescent="0.15">
      <c r="A2014" s="3">
        <f ca="1">IFERROR(__xludf.DUMMYFUNCTION("""COMPUTED_VALUE"""),43360.6666666666)</f>
        <v>43360.666666666599</v>
      </c>
      <c r="B2014" s="4">
        <f ca="1">IFERROR(__xludf.DUMMYFUNCTION("""COMPUTED_VALUE"""),1156.05)</f>
        <v>1156.05</v>
      </c>
      <c r="C2014" s="5">
        <f t="shared" ca="1" si="0"/>
        <v>-1.4154785454941867E-2</v>
      </c>
    </row>
    <row r="2015" spans="1:3" ht="13" x14ac:dyDescent="0.15">
      <c r="A2015" s="3">
        <f ca="1">IFERROR(__xludf.DUMMYFUNCTION("""COMPUTED_VALUE"""),43361.6666666666)</f>
        <v>43361.666666666599</v>
      </c>
      <c r="B2015" s="4">
        <f ca="1">IFERROR(__xludf.DUMMYFUNCTION("""COMPUTED_VALUE"""),1161.22)</f>
        <v>1161.22</v>
      </c>
      <c r="C2015" s="5">
        <f t="shared" ca="1" si="0"/>
        <v>4.4621546718717443E-3</v>
      </c>
    </row>
    <row r="2016" spans="1:3" ht="13" x14ac:dyDescent="0.15">
      <c r="A2016" s="3">
        <f ca="1">IFERROR(__xludf.DUMMYFUNCTION("""COMPUTED_VALUE"""),43362.6666666666)</f>
        <v>43362.666666666599</v>
      </c>
      <c r="B2016" s="4">
        <f ca="1">IFERROR(__xludf.DUMMYFUNCTION("""COMPUTED_VALUE"""),1171.09)</f>
        <v>1171.0899999999999</v>
      </c>
      <c r="C2016" s="5">
        <f t="shared" ca="1" si="0"/>
        <v>8.4637624672048266E-3</v>
      </c>
    </row>
    <row r="2017" spans="1:3" ht="13" x14ac:dyDescent="0.15">
      <c r="A2017" s="3">
        <f ca="1">IFERROR(__xludf.DUMMYFUNCTION("""COMPUTED_VALUE"""),43363.6666666666)</f>
        <v>43363.666666666599</v>
      </c>
      <c r="B2017" s="4">
        <f ca="1">IFERROR(__xludf.DUMMYFUNCTION("""COMPUTED_VALUE"""),1186.87)</f>
        <v>1186.8699999999999</v>
      </c>
      <c r="C2017" s="5">
        <f t="shared" ca="1" si="0"/>
        <v>1.3384650782938805E-2</v>
      </c>
    </row>
    <row r="2018" spans="1:3" ht="13" x14ac:dyDescent="0.15">
      <c r="A2018" s="3">
        <f ca="1">IFERROR(__xludf.DUMMYFUNCTION("""COMPUTED_VALUE"""),43364.6666666666)</f>
        <v>43364.666666666599</v>
      </c>
      <c r="B2018" s="4">
        <f ca="1">IFERROR(__xludf.DUMMYFUNCTION("""COMPUTED_VALUE"""),1166.09)</f>
        <v>1166.0899999999999</v>
      </c>
      <c r="C2018" s="5">
        <f t="shared" ca="1" si="0"/>
        <v>-1.7663317918470811E-2</v>
      </c>
    </row>
    <row r="2019" spans="1:3" ht="13" x14ac:dyDescent="0.15">
      <c r="A2019" s="3">
        <f ca="1">IFERROR(__xludf.DUMMYFUNCTION("""COMPUTED_VALUE"""),43367.6666666666)</f>
        <v>43367.666666666599</v>
      </c>
      <c r="B2019" s="4">
        <f ca="1">IFERROR(__xludf.DUMMYFUNCTION("""COMPUTED_VALUE"""),1173.37)</f>
        <v>1173.3699999999999</v>
      </c>
      <c r="C2019" s="5">
        <f t="shared" ca="1" si="0"/>
        <v>6.2236785401053301E-3</v>
      </c>
    </row>
    <row r="2020" spans="1:3" ht="13" x14ac:dyDescent="0.15">
      <c r="A2020" s="3">
        <f ca="1">IFERROR(__xludf.DUMMYFUNCTION("""COMPUTED_VALUE"""),43368.6666666666)</f>
        <v>43368.666666666599</v>
      </c>
      <c r="B2020" s="4">
        <f ca="1">IFERROR(__xludf.DUMMYFUNCTION("""COMPUTED_VALUE"""),1184.65)</f>
        <v>1184.6500000000001</v>
      </c>
      <c r="C2020" s="5">
        <f t="shared" ca="1" si="0"/>
        <v>9.5674218567240663E-3</v>
      </c>
    </row>
    <row r="2021" spans="1:3" ht="13" x14ac:dyDescent="0.15">
      <c r="A2021" s="3">
        <f ca="1">IFERROR(__xludf.DUMMYFUNCTION("""COMPUTED_VALUE"""),43369.6666666666)</f>
        <v>43369.666666666599</v>
      </c>
      <c r="B2021" s="4">
        <f ca="1">IFERROR(__xludf.DUMMYFUNCTION("""COMPUTED_VALUE"""),1180.49)</f>
        <v>1180.49</v>
      </c>
      <c r="C2021" s="5">
        <f t="shared" ca="1" si="0"/>
        <v>-3.5177657896673198E-3</v>
      </c>
    </row>
    <row r="2022" spans="1:3" ht="13" x14ac:dyDescent="0.15">
      <c r="A2022" s="3">
        <f ca="1">IFERROR(__xludf.DUMMYFUNCTION("""COMPUTED_VALUE"""),43370.6666666666)</f>
        <v>43370.666666666599</v>
      </c>
      <c r="B2022" s="4">
        <f ca="1">IFERROR(__xludf.DUMMYFUNCTION("""COMPUTED_VALUE"""),1194.64)</f>
        <v>1194.6400000000001</v>
      </c>
      <c r="C2022" s="5">
        <f t="shared" ca="1" si="0"/>
        <v>1.1915278246194655E-2</v>
      </c>
    </row>
    <row r="2023" spans="1:3" ht="13" x14ac:dyDescent="0.15">
      <c r="A2023" s="3">
        <f ca="1">IFERROR(__xludf.DUMMYFUNCTION("""COMPUTED_VALUE"""),43371.6666666666)</f>
        <v>43371.666666666599</v>
      </c>
      <c r="B2023" s="4">
        <f ca="1">IFERROR(__xludf.DUMMYFUNCTION("""COMPUTED_VALUE"""),1193.47)</f>
        <v>1193.47</v>
      </c>
      <c r="C2023" s="5">
        <f t="shared" ca="1" si="0"/>
        <v>-9.7985444021523867E-4</v>
      </c>
    </row>
    <row r="2024" spans="1:3" ht="13" x14ac:dyDescent="0.15">
      <c r="A2024" s="3">
        <f ca="1">IFERROR(__xludf.DUMMYFUNCTION("""COMPUTED_VALUE"""),43374.6666666666)</f>
        <v>43374.666666666599</v>
      </c>
      <c r="B2024" s="4">
        <f ca="1">IFERROR(__xludf.DUMMYFUNCTION("""COMPUTED_VALUE"""),1195.31)</f>
        <v>1195.31</v>
      </c>
      <c r="C2024" s="5">
        <f t="shared" ca="1" si="0"/>
        <v>1.5405356407022391E-3</v>
      </c>
    </row>
    <row r="2025" spans="1:3" ht="13" x14ac:dyDescent="0.15">
      <c r="A2025" s="3">
        <f ca="1">IFERROR(__xludf.DUMMYFUNCTION("""COMPUTED_VALUE"""),43375.6666666666)</f>
        <v>43375.666666666599</v>
      </c>
      <c r="B2025" s="4">
        <f ca="1">IFERROR(__xludf.DUMMYFUNCTION("""COMPUTED_VALUE"""),1200.11)</f>
        <v>1200.1099999999999</v>
      </c>
      <c r="C2025" s="5">
        <f t="shared" ca="1" si="0"/>
        <v>4.0076532921259544E-3</v>
      </c>
    </row>
    <row r="2026" spans="1:3" ht="13" x14ac:dyDescent="0.15">
      <c r="A2026" s="3">
        <f ca="1">IFERROR(__xludf.DUMMYFUNCTION("""COMPUTED_VALUE"""),43376.6666666666)</f>
        <v>43376.666666666599</v>
      </c>
      <c r="B2026" s="4">
        <f ca="1">IFERROR(__xludf.DUMMYFUNCTION("""COMPUTED_VALUE"""),1202.95)</f>
        <v>1202.95</v>
      </c>
      <c r="C2026" s="5">
        <f t="shared" ca="1" si="0"/>
        <v>2.3636541095302332E-3</v>
      </c>
    </row>
    <row r="2027" spans="1:3" ht="13" x14ac:dyDescent="0.15">
      <c r="A2027" s="3">
        <f ca="1">IFERROR(__xludf.DUMMYFUNCTION("""COMPUTED_VALUE"""),43377.6666666666)</f>
        <v>43377.666666666599</v>
      </c>
      <c r="B2027" s="4">
        <f ca="1">IFERROR(__xludf.DUMMYFUNCTION("""COMPUTED_VALUE"""),1168.19)</f>
        <v>1168.19</v>
      </c>
      <c r="C2027" s="5">
        <f t="shared" ca="1" si="0"/>
        <v>-2.932133095963738E-2</v>
      </c>
    </row>
    <row r="2028" spans="1:3" ht="13" x14ac:dyDescent="0.15">
      <c r="A2028" s="3">
        <f ca="1">IFERROR(__xludf.DUMMYFUNCTION("""COMPUTED_VALUE"""),43378.6666666666)</f>
        <v>43378.666666666599</v>
      </c>
      <c r="B2028" s="4">
        <f ca="1">IFERROR(__xludf.DUMMYFUNCTION("""COMPUTED_VALUE"""),1157.35)</f>
        <v>1157.3499999999999</v>
      </c>
      <c r="C2028" s="5">
        <f t="shared" ca="1" si="0"/>
        <v>-9.3226334614211238E-3</v>
      </c>
    </row>
    <row r="2029" spans="1:3" ht="13" x14ac:dyDescent="0.15">
      <c r="A2029" s="3">
        <f ca="1">IFERROR(__xludf.DUMMYFUNCTION("""COMPUTED_VALUE"""),43381.6666666666)</f>
        <v>43381.666666666599</v>
      </c>
      <c r="B2029" s="4">
        <f ca="1">IFERROR(__xludf.DUMMYFUNCTION("""COMPUTED_VALUE"""),1148.97)</f>
        <v>1148.97</v>
      </c>
      <c r="C2029" s="5">
        <f t="shared" ca="1" si="0"/>
        <v>-7.2670200827795418E-3</v>
      </c>
    </row>
    <row r="2030" spans="1:3" ht="13" x14ac:dyDescent="0.15">
      <c r="A2030" s="3">
        <f ca="1">IFERROR(__xludf.DUMMYFUNCTION("""COMPUTED_VALUE"""),43382.6666666666)</f>
        <v>43382.666666666599</v>
      </c>
      <c r="B2030" s="4">
        <f ca="1">IFERROR(__xludf.DUMMYFUNCTION("""COMPUTED_VALUE"""),1138.82)</f>
        <v>1138.82</v>
      </c>
      <c r="C2030" s="5">
        <f t="shared" ca="1" si="0"/>
        <v>-8.8732502513224117E-3</v>
      </c>
    </row>
    <row r="2031" spans="1:3" ht="13" x14ac:dyDescent="0.15">
      <c r="A2031" s="3">
        <f ca="1">IFERROR(__xludf.DUMMYFUNCTION("""COMPUTED_VALUE"""),43383.6666666666)</f>
        <v>43383.666666666599</v>
      </c>
      <c r="B2031" s="4">
        <f ca="1">IFERROR(__xludf.DUMMYFUNCTION("""COMPUTED_VALUE"""),1081.22)</f>
        <v>1081.22</v>
      </c>
      <c r="C2031" s="5">
        <f t="shared" ca="1" si="0"/>
        <v>-5.190260539956458E-2</v>
      </c>
    </row>
    <row r="2032" spans="1:3" ht="13" x14ac:dyDescent="0.15">
      <c r="A2032" s="3">
        <f ca="1">IFERROR(__xludf.DUMMYFUNCTION("""COMPUTED_VALUE"""),43384.6666666666)</f>
        <v>43384.666666666599</v>
      </c>
      <c r="B2032" s="4">
        <f ca="1">IFERROR(__xludf.DUMMYFUNCTION("""COMPUTED_VALUE"""),1079.32)</f>
        <v>1079.32</v>
      </c>
      <c r="C2032" s="5">
        <f t="shared" ca="1" si="0"/>
        <v>-1.75882000777208E-3</v>
      </c>
    </row>
    <row r="2033" spans="1:3" ht="13" x14ac:dyDescent="0.15">
      <c r="A2033" s="3">
        <f ca="1">IFERROR(__xludf.DUMMYFUNCTION("""COMPUTED_VALUE"""),43385.6666666666)</f>
        <v>43385.666666666599</v>
      </c>
      <c r="B2033" s="4">
        <f ca="1">IFERROR(__xludf.DUMMYFUNCTION("""COMPUTED_VALUE"""),1110.08)</f>
        <v>1110.08</v>
      </c>
      <c r="C2033" s="5">
        <f t="shared" ca="1" si="0"/>
        <v>2.8100871592725757E-2</v>
      </c>
    </row>
    <row r="2034" spans="1:3" ht="13" x14ac:dyDescent="0.15">
      <c r="A2034" s="3">
        <f ca="1">IFERROR(__xludf.DUMMYFUNCTION("""COMPUTED_VALUE"""),43388.6666666666)</f>
        <v>43388.666666666599</v>
      </c>
      <c r="B2034" s="4">
        <f ca="1">IFERROR(__xludf.DUMMYFUNCTION("""COMPUTED_VALUE"""),1092.25)</f>
        <v>1092.25</v>
      </c>
      <c r="C2034" s="5">
        <f t="shared" ca="1" si="0"/>
        <v>-1.6192295949839567E-2</v>
      </c>
    </row>
    <row r="2035" spans="1:3" ht="13" x14ac:dyDescent="0.15">
      <c r="A2035" s="3">
        <f ca="1">IFERROR(__xludf.DUMMYFUNCTION("""COMPUTED_VALUE"""),43389.6666666666)</f>
        <v>43389.666666666599</v>
      </c>
      <c r="B2035" s="4">
        <f ca="1">IFERROR(__xludf.DUMMYFUNCTION("""COMPUTED_VALUE"""),1121.28)</f>
        <v>1121.28</v>
      </c>
      <c r="C2035" s="5">
        <f t="shared" ca="1" si="0"/>
        <v>2.6231101036372016E-2</v>
      </c>
    </row>
    <row r="2036" spans="1:3" ht="13" x14ac:dyDescent="0.15">
      <c r="A2036" s="3">
        <f ca="1">IFERROR(__xludf.DUMMYFUNCTION("""COMPUTED_VALUE"""),43390.6666666666)</f>
        <v>43390.666666666599</v>
      </c>
      <c r="B2036" s="4">
        <f ca="1">IFERROR(__xludf.DUMMYFUNCTION("""COMPUTED_VALUE"""),1115.69)</f>
        <v>1115.69</v>
      </c>
      <c r="C2036" s="5">
        <f t="shared" ca="1" si="0"/>
        <v>-4.9978422918316107E-3</v>
      </c>
    </row>
    <row r="2037" spans="1:3" ht="13" x14ac:dyDescent="0.15">
      <c r="A2037" s="3">
        <f ca="1">IFERROR(__xludf.DUMMYFUNCTION("""COMPUTED_VALUE"""),43391.6666666666)</f>
        <v>43391.666666666599</v>
      </c>
      <c r="B2037" s="4">
        <f ca="1">IFERROR(__xludf.DUMMYFUNCTION("""COMPUTED_VALUE"""),1087.97)</f>
        <v>1087.97</v>
      </c>
      <c r="C2037" s="5">
        <f t="shared" ca="1" si="0"/>
        <v>-2.5159473069766184E-2</v>
      </c>
    </row>
    <row r="2038" spans="1:3" ht="13" x14ac:dyDescent="0.15">
      <c r="A2038" s="3">
        <f ca="1">IFERROR(__xludf.DUMMYFUNCTION("""COMPUTED_VALUE"""),43392.6666666666)</f>
        <v>43392.666666666599</v>
      </c>
      <c r="B2038" s="4">
        <f ca="1">IFERROR(__xludf.DUMMYFUNCTION("""COMPUTED_VALUE"""),1096.46)</f>
        <v>1096.46</v>
      </c>
      <c r="C2038" s="5">
        <f t="shared" ca="1" si="0"/>
        <v>7.773233978060401E-3</v>
      </c>
    </row>
    <row r="2039" spans="1:3" ht="13" x14ac:dyDescent="0.15">
      <c r="A2039" s="3">
        <f ca="1">IFERROR(__xludf.DUMMYFUNCTION("""COMPUTED_VALUE"""),43395.6666666666)</f>
        <v>43395.666666666599</v>
      </c>
      <c r="B2039" s="4">
        <f ca="1">IFERROR(__xludf.DUMMYFUNCTION("""COMPUTED_VALUE"""),1101.16)</f>
        <v>1101.1600000000001</v>
      </c>
      <c r="C2039" s="5">
        <f t="shared" ca="1" si="0"/>
        <v>4.2773611141689368E-3</v>
      </c>
    </row>
    <row r="2040" spans="1:3" ht="13" x14ac:dyDescent="0.15">
      <c r="A2040" s="3">
        <f ca="1">IFERROR(__xludf.DUMMYFUNCTION("""COMPUTED_VALUE"""),43396.6666666666)</f>
        <v>43396.666666666599</v>
      </c>
      <c r="B2040" s="4">
        <f ca="1">IFERROR(__xludf.DUMMYFUNCTION("""COMPUTED_VALUE"""),1103.69)</f>
        <v>1103.69</v>
      </c>
      <c r="C2040" s="5">
        <f t="shared" ca="1" si="0"/>
        <v>2.2949417061550754E-3</v>
      </c>
    </row>
    <row r="2041" spans="1:3" ht="13" x14ac:dyDescent="0.15">
      <c r="A2041" s="3">
        <f ca="1">IFERROR(__xludf.DUMMYFUNCTION("""COMPUTED_VALUE"""),43397.6666666666)</f>
        <v>43397.666666666599</v>
      </c>
      <c r="B2041" s="4">
        <f ca="1">IFERROR(__xludf.DUMMYFUNCTION("""COMPUTED_VALUE"""),1050.71)</f>
        <v>1050.71</v>
      </c>
      <c r="C2041" s="5">
        <f t="shared" ca="1" si="0"/>
        <v>-4.9192985190717443E-2</v>
      </c>
    </row>
    <row r="2042" spans="1:3" ht="13" x14ac:dyDescent="0.15">
      <c r="A2042" s="3">
        <f ca="1">IFERROR(__xludf.DUMMYFUNCTION("""COMPUTED_VALUE"""),43398.6666666666)</f>
        <v>43398.666666666599</v>
      </c>
      <c r="B2042" s="4">
        <f ca="1">IFERROR(__xludf.DUMMYFUNCTION("""COMPUTED_VALUE"""),1095.57)</f>
        <v>1095.57</v>
      </c>
      <c r="C2042" s="5">
        <f t="shared" ca="1" si="0"/>
        <v>4.1808649643737941E-2</v>
      </c>
    </row>
    <row r="2043" spans="1:3" ht="13" x14ac:dyDescent="0.15">
      <c r="A2043" s="3">
        <f ca="1">IFERROR(__xludf.DUMMYFUNCTION("""COMPUTED_VALUE"""),43399.6666666666)</f>
        <v>43399.666666666599</v>
      </c>
      <c r="B2043" s="4">
        <f ca="1">IFERROR(__xludf.DUMMYFUNCTION("""COMPUTED_VALUE"""),1071.47)</f>
        <v>1071.47</v>
      </c>
      <c r="C2043" s="5">
        <f t="shared" ca="1" si="0"/>
        <v>-2.2243238369505348E-2</v>
      </c>
    </row>
    <row r="2044" spans="1:3" ht="13" x14ac:dyDescent="0.15">
      <c r="A2044" s="3">
        <f ca="1">IFERROR(__xludf.DUMMYFUNCTION("""COMPUTED_VALUE"""),43402.6666666666)</f>
        <v>43402.666666666599</v>
      </c>
      <c r="B2044" s="4">
        <f ca="1">IFERROR(__xludf.DUMMYFUNCTION("""COMPUTED_VALUE"""),1020.08)</f>
        <v>1020.08</v>
      </c>
      <c r="C2044" s="5">
        <f t="shared" ca="1" si="0"/>
        <v>-4.9150481812932342E-2</v>
      </c>
    </row>
    <row r="2045" spans="1:3" ht="13" x14ac:dyDescent="0.15">
      <c r="A2045" s="3">
        <f ca="1">IFERROR(__xludf.DUMMYFUNCTION("""COMPUTED_VALUE"""),43403.6666666666)</f>
        <v>43403.666666666599</v>
      </c>
      <c r="B2045" s="4">
        <f ca="1">IFERROR(__xludf.DUMMYFUNCTION("""COMPUTED_VALUE"""),1036.21)</f>
        <v>1036.21</v>
      </c>
      <c r="C2045" s="5">
        <f t="shared" ca="1" si="0"/>
        <v>1.5688770405427609E-2</v>
      </c>
    </row>
    <row r="2046" spans="1:3" ht="13" x14ac:dyDescent="0.15">
      <c r="A2046" s="3">
        <f ca="1">IFERROR(__xludf.DUMMYFUNCTION("""COMPUTED_VALUE"""),43404.6666666666)</f>
        <v>43404.666666666599</v>
      </c>
      <c r="B2046" s="4">
        <f ca="1">IFERROR(__xludf.DUMMYFUNCTION("""COMPUTED_VALUE"""),1076.77)</f>
        <v>1076.77</v>
      </c>
      <c r="C2046" s="5">
        <f t="shared" ca="1" si="0"/>
        <v>3.8395993194748734E-2</v>
      </c>
    </row>
    <row r="2047" spans="1:3" ht="13" x14ac:dyDescent="0.15">
      <c r="A2047" s="3">
        <f ca="1">IFERROR(__xludf.DUMMYFUNCTION("""COMPUTED_VALUE"""),43405.6666666666)</f>
        <v>43405.666666666599</v>
      </c>
      <c r="B2047" s="4">
        <f ca="1">IFERROR(__xludf.DUMMYFUNCTION("""COMPUTED_VALUE"""),1070)</f>
        <v>1070</v>
      </c>
      <c r="C2047" s="5">
        <f t="shared" ca="1" si="0"/>
        <v>-6.3071707195108328E-3</v>
      </c>
    </row>
    <row r="2048" spans="1:3" ht="13" x14ac:dyDescent="0.15">
      <c r="A2048" s="3">
        <f ca="1">IFERROR(__xludf.DUMMYFUNCTION("""COMPUTED_VALUE"""),43406.6666666666)</f>
        <v>43406.666666666599</v>
      </c>
      <c r="B2048" s="4">
        <f ca="1">IFERROR(__xludf.DUMMYFUNCTION("""COMPUTED_VALUE"""),1057.79)</f>
        <v>1057.79</v>
      </c>
      <c r="C2048" s="5">
        <f t="shared" ca="1" si="0"/>
        <v>-1.1476822451665624E-2</v>
      </c>
    </row>
    <row r="2049" spans="1:3" ht="13" x14ac:dyDescent="0.15">
      <c r="A2049" s="3">
        <f ca="1">IFERROR(__xludf.DUMMYFUNCTION("""COMPUTED_VALUE"""),43409.6666666666)</f>
        <v>43409.666666666599</v>
      </c>
      <c r="B2049" s="4">
        <f ca="1">IFERROR(__xludf.DUMMYFUNCTION("""COMPUTED_VALUE"""),1040.09)</f>
        <v>1040.0899999999999</v>
      </c>
      <c r="C2049" s="5">
        <f t="shared" ca="1" si="0"/>
        <v>-1.687457815156615E-2</v>
      </c>
    </row>
    <row r="2050" spans="1:3" ht="13" x14ac:dyDescent="0.15">
      <c r="A2050" s="3">
        <f ca="1">IFERROR(__xludf.DUMMYFUNCTION("""COMPUTED_VALUE"""),43410.6666666666)</f>
        <v>43410.666666666599</v>
      </c>
      <c r="B2050" s="4">
        <f ca="1">IFERROR(__xludf.DUMMYFUNCTION("""COMPUTED_VALUE"""),1055.81)</f>
        <v>1055.81</v>
      </c>
      <c r="C2050" s="5">
        <f t="shared" ca="1" si="0"/>
        <v>1.5000996982754117E-2</v>
      </c>
    </row>
    <row r="2051" spans="1:3" ht="13" x14ac:dyDescent="0.15">
      <c r="A2051" s="3">
        <f ca="1">IFERROR(__xludf.DUMMYFUNCTION("""COMPUTED_VALUE"""),43411.6666666666)</f>
        <v>43411.666666666599</v>
      </c>
      <c r="B2051" s="4">
        <f ca="1">IFERROR(__xludf.DUMMYFUNCTION("""COMPUTED_VALUE"""),1093.39)</f>
        <v>1093.3900000000001</v>
      </c>
      <c r="C2051" s="5">
        <f t="shared" ca="1" si="0"/>
        <v>3.4974716799808105E-2</v>
      </c>
    </row>
    <row r="2052" spans="1:3" ht="13" x14ac:dyDescent="0.15">
      <c r="A2052" s="3">
        <f ca="1">IFERROR(__xludf.DUMMYFUNCTION("""COMPUTED_VALUE"""),43412.6666666666)</f>
        <v>43412.666666666599</v>
      </c>
      <c r="B2052" s="4">
        <f ca="1">IFERROR(__xludf.DUMMYFUNCTION("""COMPUTED_VALUE"""),1082.4)</f>
        <v>1082.4000000000001</v>
      </c>
      <c r="C2052" s="5">
        <f t="shared" ca="1" si="0"/>
        <v>-1.0102163778704014E-2</v>
      </c>
    </row>
    <row r="2053" spans="1:3" ht="13" x14ac:dyDescent="0.15">
      <c r="A2053" s="3">
        <f ca="1">IFERROR(__xludf.DUMMYFUNCTION("""COMPUTED_VALUE"""),43413.6666666666)</f>
        <v>43413.666666666599</v>
      </c>
      <c r="B2053" s="4">
        <f ca="1">IFERROR(__xludf.DUMMYFUNCTION("""COMPUTED_VALUE"""),1066.15)</f>
        <v>1066.1500000000001</v>
      </c>
      <c r="C2053" s="5">
        <f t="shared" ca="1" si="0"/>
        <v>-1.5126769084335356E-2</v>
      </c>
    </row>
    <row r="2054" spans="1:3" ht="13" x14ac:dyDescent="0.15">
      <c r="A2054" s="3">
        <f ca="1">IFERROR(__xludf.DUMMYFUNCTION("""COMPUTED_VALUE"""),43416.6666666666)</f>
        <v>43416.666666666599</v>
      </c>
      <c r="B2054" s="4">
        <f ca="1">IFERROR(__xludf.DUMMYFUNCTION("""COMPUTED_VALUE"""),1038.63)</f>
        <v>1038.6300000000001</v>
      </c>
      <c r="C2054" s="5">
        <f t="shared" ca="1" si="0"/>
        <v>-2.6151491741638482E-2</v>
      </c>
    </row>
    <row r="2055" spans="1:3" ht="13" x14ac:dyDescent="0.15">
      <c r="A2055" s="3">
        <f ca="1">IFERROR(__xludf.DUMMYFUNCTION("""COMPUTED_VALUE"""),43417.6666666666)</f>
        <v>43417.666666666599</v>
      </c>
      <c r="B2055" s="4">
        <f ca="1">IFERROR(__xludf.DUMMYFUNCTION("""COMPUTED_VALUE"""),1036.05)</f>
        <v>1036.05</v>
      </c>
      <c r="C2055" s="5">
        <f t="shared" ca="1" si="0"/>
        <v>-2.4871318275129827E-3</v>
      </c>
    </row>
    <row r="2056" spans="1:3" ht="13" x14ac:dyDescent="0.15">
      <c r="A2056" s="3">
        <f ca="1">IFERROR(__xludf.DUMMYFUNCTION("""COMPUTED_VALUE"""),43418.6666666666)</f>
        <v>43418.666666666599</v>
      </c>
      <c r="B2056" s="4">
        <f ca="1">IFERROR(__xludf.DUMMYFUNCTION("""COMPUTED_VALUE"""),1043.66)</f>
        <v>1043.6600000000001</v>
      </c>
      <c r="C2056" s="5">
        <f t="shared" ca="1" si="0"/>
        <v>7.3183606992551905E-3</v>
      </c>
    </row>
    <row r="2057" spans="1:3" ht="13" x14ac:dyDescent="0.15">
      <c r="A2057" s="3">
        <f ca="1">IFERROR(__xludf.DUMMYFUNCTION("""COMPUTED_VALUE"""),43419.6666666666)</f>
        <v>43419.666666666599</v>
      </c>
      <c r="B2057" s="4">
        <f ca="1">IFERROR(__xludf.DUMMYFUNCTION("""COMPUTED_VALUE"""),1064.71)</f>
        <v>1064.71</v>
      </c>
      <c r="C2057" s="5">
        <f t="shared" ca="1" si="0"/>
        <v>1.9968695691190978E-2</v>
      </c>
    </row>
    <row r="2058" spans="1:3" ht="13" x14ac:dyDescent="0.15">
      <c r="A2058" s="3">
        <f ca="1">IFERROR(__xludf.DUMMYFUNCTION("""COMPUTED_VALUE"""),43420.6666666666)</f>
        <v>43420.666666666599</v>
      </c>
      <c r="B2058" s="4">
        <f ca="1">IFERROR(__xludf.DUMMYFUNCTION("""COMPUTED_VALUE"""),1061.49)</f>
        <v>1061.49</v>
      </c>
      <c r="C2058" s="5">
        <f t="shared" ca="1" si="0"/>
        <v>-3.0288801257834894E-3</v>
      </c>
    </row>
    <row r="2059" spans="1:3" ht="13" x14ac:dyDescent="0.15">
      <c r="A2059" s="3">
        <f ca="1">IFERROR(__xludf.DUMMYFUNCTION("""COMPUTED_VALUE"""),43423.6666666666)</f>
        <v>43423.666666666599</v>
      </c>
      <c r="B2059" s="4">
        <f ca="1">IFERROR(__xludf.DUMMYFUNCTION("""COMPUTED_VALUE"""),1020)</f>
        <v>1020</v>
      </c>
      <c r="C2059" s="5">
        <f t="shared" ca="1" si="0"/>
        <v>-3.9870954189437278E-2</v>
      </c>
    </row>
    <row r="2060" spans="1:3" ht="13" x14ac:dyDescent="0.15">
      <c r="A2060" s="3">
        <f ca="1">IFERROR(__xludf.DUMMYFUNCTION("""COMPUTED_VALUE"""),43424.6666666666)</f>
        <v>43424.666666666599</v>
      </c>
      <c r="B2060" s="4">
        <f ca="1">IFERROR(__xludf.DUMMYFUNCTION("""COMPUTED_VALUE"""),1025.76)</f>
        <v>1025.76</v>
      </c>
      <c r="C2060" s="5">
        <f t="shared" ca="1" si="0"/>
        <v>5.6311739606303432E-3</v>
      </c>
    </row>
    <row r="2061" spans="1:3" ht="13" x14ac:dyDescent="0.15">
      <c r="A2061" s="3">
        <f ca="1">IFERROR(__xludf.DUMMYFUNCTION("""COMPUTED_VALUE"""),43425.6666666666)</f>
        <v>43425.666666666599</v>
      </c>
      <c r="B2061" s="4">
        <f ca="1">IFERROR(__xludf.DUMMYFUNCTION("""COMPUTED_VALUE"""),1037.61)</f>
        <v>1037.6099999999999</v>
      </c>
      <c r="C2061" s="5">
        <f t="shared" ca="1" si="0"/>
        <v>1.1486190342134382E-2</v>
      </c>
    </row>
    <row r="2062" spans="1:3" ht="13" x14ac:dyDescent="0.15">
      <c r="A2062" s="3">
        <f ca="1">IFERROR(__xludf.DUMMYFUNCTION("""COMPUTED_VALUE"""),43427.5416666666)</f>
        <v>43427.541666666599</v>
      </c>
      <c r="B2062" s="4">
        <f ca="1">IFERROR(__xludf.DUMMYFUNCTION("""COMPUTED_VALUE"""),1023.88)</f>
        <v>1023.88</v>
      </c>
      <c r="C2062" s="5">
        <f t="shared" ca="1" si="0"/>
        <v>-1.3320659348619991E-2</v>
      </c>
    </row>
    <row r="2063" spans="1:3" ht="13" x14ac:dyDescent="0.15">
      <c r="A2063" s="3">
        <f ca="1">IFERROR(__xludf.DUMMYFUNCTION("""COMPUTED_VALUE"""),43430.6666666666)</f>
        <v>43430.666666666599</v>
      </c>
      <c r="B2063" s="4">
        <f ca="1">IFERROR(__xludf.DUMMYFUNCTION("""COMPUTED_VALUE"""),1048.62)</f>
        <v>1048.6199999999999</v>
      </c>
      <c r="C2063" s="5">
        <f t="shared" ca="1" si="0"/>
        <v>2.387568177386315E-2</v>
      </c>
    </row>
    <row r="2064" spans="1:3" ht="13" x14ac:dyDescent="0.15">
      <c r="A2064" s="3">
        <f ca="1">IFERROR(__xludf.DUMMYFUNCTION("""COMPUTED_VALUE"""),43431.6666666666)</f>
        <v>43431.666666666599</v>
      </c>
      <c r="B2064" s="4">
        <f ca="1">IFERROR(__xludf.DUMMYFUNCTION("""COMPUTED_VALUE"""),1044.41)</f>
        <v>1044.4100000000001</v>
      </c>
      <c r="C2064" s="5">
        <f t="shared" ca="1" si="0"/>
        <v>-4.0228813516630206E-3</v>
      </c>
    </row>
    <row r="2065" spans="1:3" ht="13" x14ac:dyDescent="0.15">
      <c r="A2065" s="3">
        <f ca="1">IFERROR(__xludf.DUMMYFUNCTION("""COMPUTED_VALUE"""),43432.6666666666)</f>
        <v>43432.666666666599</v>
      </c>
      <c r="B2065" s="4">
        <f ca="1">IFERROR(__xludf.DUMMYFUNCTION("""COMPUTED_VALUE"""),1086.23)</f>
        <v>1086.23</v>
      </c>
      <c r="C2065" s="5">
        <f t="shared" ca="1" si="0"/>
        <v>3.9260852787658659E-2</v>
      </c>
    </row>
    <row r="2066" spans="1:3" ht="13" x14ac:dyDescent="0.15">
      <c r="A2066" s="3">
        <f ca="1">IFERROR(__xludf.DUMMYFUNCTION("""COMPUTED_VALUE"""),43433.6666666666)</f>
        <v>43433.666666666599</v>
      </c>
      <c r="B2066" s="4">
        <f ca="1">IFERROR(__xludf.DUMMYFUNCTION("""COMPUTED_VALUE"""),1088.3)</f>
        <v>1088.3</v>
      </c>
      <c r="C2066" s="5">
        <f t="shared" ca="1" si="0"/>
        <v>1.9038602596955034E-3</v>
      </c>
    </row>
    <row r="2067" spans="1:3" ht="13" x14ac:dyDescent="0.15">
      <c r="A2067" s="3">
        <f ca="1">IFERROR(__xludf.DUMMYFUNCTION("""COMPUTED_VALUE"""),43434.6666666666)</f>
        <v>43434.666666666599</v>
      </c>
      <c r="B2067" s="4">
        <f ca="1">IFERROR(__xludf.DUMMYFUNCTION("""COMPUTED_VALUE"""),1094.43)</f>
        <v>1094.43</v>
      </c>
      <c r="C2067" s="5">
        <f t="shared" ca="1" si="0"/>
        <v>5.6168340712622238E-3</v>
      </c>
    </row>
    <row r="2068" spans="1:3" ht="13" x14ac:dyDescent="0.15">
      <c r="A2068" s="3">
        <f ca="1">IFERROR(__xludf.DUMMYFUNCTION("""COMPUTED_VALUE"""),43437.6666666666)</f>
        <v>43437.666666666599</v>
      </c>
      <c r="B2068" s="4">
        <f ca="1">IFERROR(__xludf.DUMMYFUNCTION("""COMPUTED_VALUE"""),1106.43)</f>
        <v>1106.43</v>
      </c>
      <c r="C2068" s="5">
        <f t="shared" ca="1" si="0"/>
        <v>1.0904936177128354E-2</v>
      </c>
    </row>
    <row r="2069" spans="1:3" ht="13" x14ac:dyDescent="0.15">
      <c r="A2069" s="3">
        <f ca="1">IFERROR(__xludf.DUMMYFUNCTION("""COMPUTED_VALUE"""),43438.6666666666)</f>
        <v>43438.666666666599</v>
      </c>
      <c r="B2069" s="4">
        <f ca="1">IFERROR(__xludf.DUMMYFUNCTION("""COMPUTED_VALUE"""),1050.82)</f>
        <v>1050.82</v>
      </c>
      <c r="C2069" s="5">
        <f t="shared" ca="1" si="0"/>
        <v>-5.1567804202524589E-2</v>
      </c>
    </row>
    <row r="2070" spans="1:3" ht="13" x14ac:dyDescent="0.15">
      <c r="A2070" s="3">
        <f ca="1">IFERROR(__xludf.DUMMYFUNCTION("""COMPUTED_VALUE"""),43440.6666666666)</f>
        <v>43440.666666666599</v>
      </c>
      <c r="B2070" s="4">
        <f ca="1">IFERROR(__xludf.DUMMYFUNCTION("""COMPUTED_VALUE"""),1068.73)</f>
        <v>1068.73</v>
      </c>
      <c r="C2070" s="5">
        <f t="shared" ca="1" si="0"/>
        <v>1.690021587769678E-2</v>
      </c>
    </row>
    <row r="2071" spans="1:3" ht="13" x14ac:dyDescent="0.15">
      <c r="A2071" s="3">
        <f ca="1">IFERROR(__xludf.DUMMYFUNCTION("""COMPUTED_VALUE"""),43441.6666666666)</f>
        <v>43441.666666666599</v>
      </c>
      <c r="B2071" s="4">
        <f ca="1">IFERROR(__xludf.DUMMYFUNCTION("""COMPUTED_VALUE"""),1036.58)</f>
        <v>1036.58</v>
      </c>
      <c r="C2071" s="5">
        <f t="shared" ca="1" si="0"/>
        <v>-3.0544194901364653E-2</v>
      </c>
    </row>
    <row r="2072" spans="1:3" ht="13" x14ac:dyDescent="0.15">
      <c r="A2072" s="3">
        <f ca="1">IFERROR(__xludf.DUMMYFUNCTION("""COMPUTED_VALUE"""),43444.6666666666)</f>
        <v>43444.666666666599</v>
      </c>
      <c r="B2072" s="4">
        <f ca="1">IFERROR(__xludf.DUMMYFUNCTION("""COMPUTED_VALUE"""),1039.55)</f>
        <v>1039.55</v>
      </c>
      <c r="C2072" s="5">
        <f t="shared" ca="1" si="0"/>
        <v>2.861094465183183E-3</v>
      </c>
    </row>
    <row r="2073" spans="1:3" ht="13" x14ac:dyDescent="0.15">
      <c r="A2073" s="3">
        <f ca="1">IFERROR(__xludf.DUMMYFUNCTION("""COMPUTED_VALUE"""),43445.6666666666)</f>
        <v>43445.666666666599</v>
      </c>
      <c r="B2073" s="4">
        <f ca="1">IFERROR(__xludf.DUMMYFUNCTION("""COMPUTED_VALUE"""),1051.75)</f>
        <v>1051.75</v>
      </c>
      <c r="C2073" s="5">
        <f t="shared" ca="1" si="0"/>
        <v>1.1667516281232835E-2</v>
      </c>
    </row>
    <row r="2074" spans="1:3" ht="13" x14ac:dyDescent="0.15">
      <c r="A2074" s="3">
        <f ca="1">IFERROR(__xludf.DUMMYFUNCTION("""COMPUTED_VALUE"""),43446.6666666666)</f>
        <v>43446.666666666599</v>
      </c>
      <c r="B2074" s="4">
        <f ca="1">IFERROR(__xludf.DUMMYFUNCTION("""COMPUTED_VALUE"""),1063.68)</f>
        <v>1063.68</v>
      </c>
      <c r="C2074" s="5">
        <f t="shared" ca="1" si="0"/>
        <v>1.1279150316343706E-2</v>
      </c>
    </row>
    <row r="2075" spans="1:3" ht="13" x14ac:dyDescent="0.15">
      <c r="A2075" s="3">
        <f ca="1">IFERROR(__xludf.DUMMYFUNCTION("""COMPUTED_VALUE"""),43447.6666666666)</f>
        <v>43447.666666666599</v>
      </c>
      <c r="B2075" s="4">
        <f ca="1">IFERROR(__xludf.DUMMYFUNCTION("""COMPUTED_VALUE"""),1061.9)</f>
        <v>1061.9000000000001</v>
      </c>
      <c r="C2075" s="5">
        <f t="shared" ca="1" si="0"/>
        <v>-1.6748373771740695E-3</v>
      </c>
    </row>
    <row r="2076" spans="1:3" ht="13" x14ac:dyDescent="0.15">
      <c r="A2076" s="3">
        <f ca="1">IFERROR(__xludf.DUMMYFUNCTION("""COMPUTED_VALUE"""),43448.6666666666)</f>
        <v>43448.666666666599</v>
      </c>
      <c r="B2076" s="4">
        <f ca="1">IFERROR(__xludf.DUMMYFUNCTION("""COMPUTED_VALUE"""),1042.1)</f>
        <v>1042.0999999999999</v>
      </c>
      <c r="C2076" s="5">
        <f t="shared" ca="1" si="0"/>
        <v>-1.8821848411418225E-2</v>
      </c>
    </row>
    <row r="2077" spans="1:3" ht="13" x14ac:dyDescent="0.15">
      <c r="A2077" s="3">
        <f ca="1">IFERROR(__xludf.DUMMYFUNCTION("""COMPUTED_VALUE"""),43451.6666666666)</f>
        <v>43451.666666666599</v>
      </c>
      <c r="B2077" s="4">
        <f ca="1">IFERROR(__xludf.DUMMYFUNCTION("""COMPUTED_VALUE"""),1016.53)</f>
        <v>1016.53</v>
      </c>
      <c r="C2077" s="5">
        <f t="shared" ca="1" si="0"/>
        <v>-2.4843041330557748E-2</v>
      </c>
    </row>
    <row r="2078" spans="1:3" ht="13" x14ac:dyDescent="0.15">
      <c r="A2078" s="3">
        <f ca="1">IFERROR(__xludf.DUMMYFUNCTION("""COMPUTED_VALUE"""),43452.6666666666)</f>
        <v>43452.666666666599</v>
      </c>
      <c r="B2078" s="4">
        <f ca="1">IFERROR(__xludf.DUMMYFUNCTION("""COMPUTED_VALUE"""),1028.71)</f>
        <v>1028.71</v>
      </c>
      <c r="C2078" s="5">
        <f t="shared" ca="1" si="0"/>
        <v>1.1910723429008027E-2</v>
      </c>
    </row>
    <row r="2079" spans="1:3" ht="13" x14ac:dyDescent="0.15">
      <c r="A2079" s="3">
        <f ca="1">IFERROR(__xludf.DUMMYFUNCTION("""COMPUTED_VALUE"""),43453.6666666666)</f>
        <v>43453.666666666599</v>
      </c>
      <c r="B2079" s="4">
        <f ca="1">IFERROR(__xludf.DUMMYFUNCTION("""COMPUTED_VALUE"""),1023.01)</f>
        <v>1023.01</v>
      </c>
      <c r="C2079" s="5">
        <f t="shared" ca="1" si="0"/>
        <v>-5.5563280219167524E-3</v>
      </c>
    </row>
    <row r="2080" spans="1:3" ht="13" x14ac:dyDescent="0.15">
      <c r="A2080" s="3">
        <f ca="1">IFERROR(__xludf.DUMMYFUNCTION("""COMPUTED_VALUE"""),43454.6666666666)</f>
        <v>43454.666666666599</v>
      </c>
      <c r="B2080" s="4">
        <f ca="1">IFERROR(__xludf.DUMMYFUNCTION("""COMPUTED_VALUE"""),1009.41)</f>
        <v>1009.41</v>
      </c>
      <c r="C2080" s="5">
        <f t="shared" ca="1" si="0"/>
        <v>-1.3383260342454529E-2</v>
      </c>
    </row>
    <row r="2081" spans="1:3" ht="13" x14ac:dyDescent="0.15">
      <c r="A2081" s="3">
        <f ca="1">IFERROR(__xludf.DUMMYFUNCTION("""COMPUTED_VALUE"""),43455.6666666666)</f>
        <v>43455.666666666599</v>
      </c>
      <c r="B2081" s="4">
        <f ca="1">IFERROR(__xludf.DUMMYFUNCTION("""COMPUTED_VALUE"""),979.54)</f>
        <v>979.54</v>
      </c>
      <c r="C2081" s="5">
        <f t="shared" ca="1" si="0"/>
        <v>-3.0038207019862248E-2</v>
      </c>
    </row>
    <row r="2082" spans="1:3" ht="13" x14ac:dyDescent="0.15">
      <c r="A2082" s="3">
        <f ca="1">IFERROR(__xludf.DUMMYFUNCTION("""COMPUTED_VALUE"""),43458.5416666666)</f>
        <v>43458.541666666599</v>
      </c>
      <c r="B2082" s="4">
        <f ca="1">IFERROR(__xludf.DUMMYFUNCTION("""COMPUTED_VALUE"""),976.22)</f>
        <v>976.22</v>
      </c>
      <c r="C2082" s="5">
        <f t="shared" ca="1" si="0"/>
        <v>-3.3951028644204156E-3</v>
      </c>
    </row>
    <row r="2083" spans="1:3" ht="13" x14ac:dyDescent="0.15">
      <c r="A2083" s="3">
        <f ca="1">IFERROR(__xludf.DUMMYFUNCTION("""COMPUTED_VALUE"""),43460.6666666666)</f>
        <v>43460.666666666599</v>
      </c>
      <c r="B2083" s="4">
        <f ca="1">IFERROR(__xludf.DUMMYFUNCTION("""COMPUTED_VALUE"""),1039.46)</f>
        <v>1039.46</v>
      </c>
      <c r="C2083" s="5">
        <f t="shared" ca="1" si="0"/>
        <v>6.2768655671033999E-2</v>
      </c>
    </row>
    <row r="2084" spans="1:3" ht="13" x14ac:dyDescent="0.15">
      <c r="A2084" s="3">
        <f ca="1">IFERROR(__xludf.DUMMYFUNCTION("""COMPUTED_VALUE"""),43461.6666666666)</f>
        <v>43461.666666666599</v>
      </c>
      <c r="B2084" s="4">
        <f ca="1">IFERROR(__xludf.DUMMYFUNCTION("""COMPUTED_VALUE"""),1043.88)</f>
        <v>1043.8800000000001</v>
      </c>
      <c r="C2084" s="5">
        <f t="shared" ca="1" si="0"/>
        <v>4.2431927882377639E-3</v>
      </c>
    </row>
    <row r="2085" spans="1:3" ht="13" x14ac:dyDescent="0.15">
      <c r="A2085" s="3">
        <f ca="1">IFERROR(__xludf.DUMMYFUNCTION("""COMPUTED_VALUE"""),43462.6666666666)</f>
        <v>43462.666666666599</v>
      </c>
      <c r="B2085" s="4">
        <f ca="1">IFERROR(__xludf.DUMMYFUNCTION("""COMPUTED_VALUE"""),1037.08)</f>
        <v>1037.08</v>
      </c>
      <c r="C2085" s="5">
        <f t="shared" ca="1" si="0"/>
        <v>-6.5354684411489949E-3</v>
      </c>
    </row>
    <row r="2086" spans="1:3" ht="13" x14ac:dyDescent="0.15">
      <c r="A2086" s="3">
        <f ca="1">IFERROR(__xludf.DUMMYFUNCTION("""COMPUTED_VALUE"""),43465.6666666666)</f>
        <v>43465.666666666599</v>
      </c>
      <c r="B2086" s="4">
        <f ca="1">IFERROR(__xludf.DUMMYFUNCTION("""COMPUTED_VALUE"""),1035.61)</f>
        <v>1035.6099999999999</v>
      </c>
      <c r="C2086" s="5">
        <f t="shared" ca="1" si="0"/>
        <v>-1.4184467976098261E-3</v>
      </c>
    </row>
    <row r="2087" spans="1:3" ht="13" x14ac:dyDescent="0.15">
      <c r="A2087" s="3">
        <f ca="1">IFERROR(__xludf.DUMMYFUNCTION("""COMPUTED_VALUE"""),43467.6666666666)</f>
        <v>43467.666666666599</v>
      </c>
      <c r="B2087" s="4">
        <f ca="1">IFERROR(__xludf.DUMMYFUNCTION("""COMPUTED_VALUE"""),1045.85)</f>
        <v>1045.8499999999999</v>
      </c>
      <c r="C2087" s="5">
        <f t="shared" ca="1" si="0"/>
        <v>9.8393268312378743E-3</v>
      </c>
    </row>
    <row r="2088" spans="1:3" ht="13" x14ac:dyDescent="0.15">
      <c r="A2088" s="3">
        <f ca="1">IFERROR(__xludf.DUMMYFUNCTION("""COMPUTED_VALUE"""),43468.6666666666)</f>
        <v>43468.666666666599</v>
      </c>
      <c r="B2088" s="4">
        <f ca="1">IFERROR(__xludf.DUMMYFUNCTION("""COMPUTED_VALUE"""),1016.06)</f>
        <v>1016.06</v>
      </c>
      <c r="C2088" s="5">
        <f t="shared" ca="1" si="0"/>
        <v>-2.88975493870763E-2</v>
      </c>
    </row>
    <row r="2089" spans="1:3" ht="13" x14ac:dyDescent="0.15">
      <c r="A2089" s="3">
        <f ca="1">IFERROR(__xludf.DUMMYFUNCTION("""COMPUTED_VALUE"""),43469.6666666666)</f>
        <v>43469.666666666599</v>
      </c>
      <c r="B2089" s="4">
        <f ca="1">IFERROR(__xludf.DUMMYFUNCTION("""COMPUTED_VALUE"""),1070.71)</f>
        <v>1070.71</v>
      </c>
      <c r="C2089" s="5">
        <f t="shared" ca="1" si="0"/>
        <v>5.2389577292075988E-2</v>
      </c>
    </row>
    <row r="2090" spans="1:3" ht="13" x14ac:dyDescent="0.15">
      <c r="A2090" s="3">
        <f ca="1">IFERROR(__xludf.DUMMYFUNCTION("""COMPUTED_VALUE"""),43472.6666666666)</f>
        <v>43472.666666666599</v>
      </c>
      <c r="B2090" s="4">
        <f ca="1">IFERROR(__xludf.DUMMYFUNCTION("""COMPUTED_VALUE"""),1068.39)</f>
        <v>1068.3900000000001</v>
      </c>
      <c r="C2090" s="5">
        <f t="shared" ca="1" si="0"/>
        <v>-2.1691374032663966E-3</v>
      </c>
    </row>
    <row r="2091" spans="1:3" ht="13" x14ac:dyDescent="0.15">
      <c r="A2091" s="3">
        <f ca="1">IFERROR(__xludf.DUMMYFUNCTION("""COMPUTED_VALUE"""),43473.6666666666)</f>
        <v>43473.666666666599</v>
      </c>
      <c r="B2091" s="4">
        <f ca="1">IFERROR(__xludf.DUMMYFUNCTION("""COMPUTED_VALUE"""),1076.28)</f>
        <v>1076.28</v>
      </c>
      <c r="C2091" s="5">
        <f t="shared" ca="1" si="0"/>
        <v>7.3578085162498263E-3</v>
      </c>
    </row>
    <row r="2092" spans="1:3" ht="13" x14ac:dyDescent="0.15">
      <c r="A2092" s="3">
        <f ca="1">IFERROR(__xludf.DUMMYFUNCTION("""COMPUTED_VALUE"""),43474.6666666666)</f>
        <v>43474.666666666599</v>
      </c>
      <c r="B2092" s="4">
        <f ca="1">IFERROR(__xludf.DUMMYFUNCTION("""COMPUTED_VALUE"""),1074.66)</f>
        <v>1074.6600000000001</v>
      </c>
      <c r="C2092" s="5">
        <f t="shared" ca="1" si="0"/>
        <v>-1.5063184526897873E-3</v>
      </c>
    </row>
    <row r="2093" spans="1:3" ht="13" x14ac:dyDescent="0.15">
      <c r="A2093" s="3">
        <f ca="1">IFERROR(__xludf.DUMMYFUNCTION("""COMPUTED_VALUE"""),43475.6666666666)</f>
        <v>43475.666666666599</v>
      </c>
      <c r="B2093" s="4">
        <f ca="1">IFERROR(__xludf.DUMMYFUNCTION("""COMPUTED_VALUE"""),1070.33)</f>
        <v>1070.33</v>
      </c>
      <c r="C2093" s="5">
        <f t="shared" ca="1" si="0"/>
        <v>-4.0373203432797419E-3</v>
      </c>
    </row>
    <row r="2094" spans="1:3" ht="13" x14ac:dyDescent="0.15">
      <c r="A2094" s="3">
        <f ca="1">IFERROR(__xludf.DUMMYFUNCTION("""COMPUTED_VALUE"""),43476.6666666666)</f>
        <v>43476.666666666599</v>
      </c>
      <c r="B2094" s="4">
        <f ca="1">IFERROR(__xludf.DUMMYFUNCTION("""COMPUTED_VALUE"""),1057.19)</f>
        <v>1057.19</v>
      </c>
      <c r="C2094" s="5">
        <f t="shared" ca="1" si="0"/>
        <v>-1.2352567384709436E-2</v>
      </c>
    </row>
    <row r="2095" spans="1:3" ht="13" x14ac:dyDescent="0.15">
      <c r="A2095" s="3">
        <f ca="1">IFERROR(__xludf.DUMMYFUNCTION("""COMPUTED_VALUE"""),43479.6666666666)</f>
        <v>43479.666666666599</v>
      </c>
      <c r="B2095" s="4">
        <f ca="1">IFERROR(__xludf.DUMMYFUNCTION("""COMPUTED_VALUE"""),1044.69)</f>
        <v>1044.69</v>
      </c>
      <c r="C2095" s="5">
        <f t="shared" ca="1" si="0"/>
        <v>-1.1894254065552976E-2</v>
      </c>
    </row>
    <row r="2096" spans="1:3" ht="13" x14ac:dyDescent="0.15">
      <c r="A2096" s="3">
        <f ca="1">IFERROR(__xludf.DUMMYFUNCTION("""COMPUTED_VALUE"""),43480.6666666666)</f>
        <v>43480.666666666599</v>
      </c>
      <c r="B2096" s="4">
        <f ca="1">IFERROR(__xludf.DUMMYFUNCTION("""COMPUTED_VALUE"""),1077.15)</f>
        <v>1077.1500000000001</v>
      </c>
      <c r="C2096" s="5">
        <f t="shared" ca="1" si="0"/>
        <v>3.0598473552756276E-2</v>
      </c>
    </row>
    <row r="2097" spans="1:3" ht="13" x14ac:dyDescent="0.15">
      <c r="A2097" s="3">
        <f ca="1">IFERROR(__xludf.DUMMYFUNCTION("""COMPUTED_VALUE"""),43481.6666666666)</f>
        <v>43481.666666666599</v>
      </c>
      <c r="B2097" s="4">
        <f ca="1">IFERROR(__xludf.DUMMYFUNCTION("""COMPUTED_VALUE"""),1080.97)</f>
        <v>1080.97</v>
      </c>
      <c r="C2097" s="5">
        <f t="shared" ca="1" si="0"/>
        <v>3.5401219482698184E-3</v>
      </c>
    </row>
    <row r="2098" spans="1:3" ht="13" x14ac:dyDescent="0.15">
      <c r="A2098" s="3">
        <f ca="1">IFERROR(__xludf.DUMMYFUNCTION("""COMPUTED_VALUE"""),43482.6666666666)</f>
        <v>43482.666666666599</v>
      </c>
      <c r="B2098" s="4">
        <f ca="1">IFERROR(__xludf.DUMMYFUNCTION("""COMPUTED_VALUE"""),1089.9)</f>
        <v>1089.9000000000001</v>
      </c>
      <c r="C2098" s="5">
        <f t="shared" ca="1" si="0"/>
        <v>8.2271627225599473E-3</v>
      </c>
    </row>
    <row r="2099" spans="1:3" ht="13" x14ac:dyDescent="0.15">
      <c r="A2099" s="3">
        <f ca="1">IFERROR(__xludf.DUMMYFUNCTION("""COMPUTED_VALUE"""),43483.6666666666)</f>
        <v>43483.666666666599</v>
      </c>
      <c r="B2099" s="4">
        <f ca="1">IFERROR(__xludf.DUMMYFUNCTION("""COMPUTED_VALUE"""),1098.26)</f>
        <v>1098.26</v>
      </c>
      <c r="C2099" s="5">
        <f t="shared" ca="1" si="0"/>
        <v>7.6411603141155254E-3</v>
      </c>
    </row>
    <row r="2100" spans="1:3" ht="13" x14ac:dyDescent="0.15">
      <c r="A2100" s="3">
        <f ca="1">IFERROR(__xludf.DUMMYFUNCTION("""COMPUTED_VALUE"""),43487.6666666666)</f>
        <v>43487.666666666599</v>
      </c>
      <c r="B2100" s="4">
        <f ca="1">IFERROR(__xludf.DUMMYFUNCTION("""COMPUTED_VALUE"""),1070.52)</f>
        <v>1070.52</v>
      </c>
      <c r="C2100" s="5">
        <f t="shared" ca="1" si="0"/>
        <v>-2.5582597495689152E-2</v>
      </c>
    </row>
    <row r="2101" spans="1:3" ht="13" x14ac:dyDescent="0.15">
      <c r="A2101" s="3">
        <f ca="1">IFERROR(__xludf.DUMMYFUNCTION("""COMPUTED_VALUE"""),43488.6666666666)</f>
        <v>43488.666666666599</v>
      </c>
      <c r="B2101" s="4">
        <f ca="1">IFERROR(__xludf.DUMMYFUNCTION("""COMPUTED_VALUE"""),1075.57)</f>
        <v>1075.57</v>
      </c>
      <c r="C2101" s="5">
        <f t="shared" ca="1" si="0"/>
        <v>4.7062418825986911E-3</v>
      </c>
    </row>
    <row r="2102" spans="1:3" ht="13" x14ac:dyDescent="0.15">
      <c r="A2102" s="3">
        <f ca="1">IFERROR(__xludf.DUMMYFUNCTION("""COMPUTED_VALUE"""),43489.6666666666)</f>
        <v>43489.666666666599</v>
      </c>
      <c r="B2102" s="4">
        <f ca="1">IFERROR(__xludf.DUMMYFUNCTION("""COMPUTED_VALUE"""),1073.9)</f>
        <v>1073.9000000000001</v>
      </c>
      <c r="C2102" s="5">
        <f t="shared" ca="1" si="0"/>
        <v>-1.5538717321201114E-3</v>
      </c>
    </row>
    <row r="2103" spans="1:3" ht="13" x14ac:dyDescent="0.15">
      <c r="A2103" s="3">
        <f ca="1">IFERROR(__xludf.DUMMYFUNCTION("""COMPUTED_VALUE"""),43490.6666666666)</f>
        <v>43490.666666666599</v>
      </c>
      <c r="B2103" s="4">
        <f ca="1">IFERROR(__xludf.DUMMYFUNCTION("""COMPUTED_VALUE"""),1090.99)</f>
        <v>1090.99</v>
      </c>
      <c r="C2103" s="5">
        <f t="shared" ca="1" si="0"/>
        <v>1.5788659024051247E-2</v>
      </c>
    </row>
    <row r="2104" spans="1:3" ht="13" x14ac:dyDescent="0.15">
      <c r="A2104" s="3">
        <f ca="1">IFERROR(__xludf.DUMMYFUNCTION("""COMPUTED_VALUE"""),43493.6666666666)</f>
        <v>43493.666666666599</v>
      </c>
      <c r="B2104" s="4">
        <f ca="1">IFERROR(__xludf.DUMMYFUNCTION("""COMPUTED_VALUE"""),1070.08)</f>
        <v>1070.08</v>
      </c>
      <c r="C2104" s="5">
        <f t="shared" ca="1" si="0"/>
        <v>-1.9352128871994927E-2</v>
      </c>
    </row>
    <row r="2105" spans="1:3" ht="13" x14ac:dyDescent="0.15">
      <c r="A2105" s="3">
        <f ca="1">IFERROR(__xludf.DUMMYFUNCTION("""COMPUTED_VALUE"""),43494.6666666666)</f>
        <v>43494.666666666599</v>
      </c>
      <c r="B2105" s="4">
        <f ca="1">IFERROR(__xludf.DUMMYFUNCTION("""COMPUTED_VALUE"""),1060.62)</f>
        <v>1060.6199999999999</v>
      </c>
      <c r="C2105" s="5">
        <f t="shared" ca="1" si="0"/>
        <v>-8.8797692403806867E-3</v>
      </c>
    </row>
    <row r="2106" spans="1:3" ht="13" x14ac:dyDescent="0.15">
      <c r="A2106" s="3">
        <f ca="1">IFERROR(__xludf.DUMMYFUNCTION("""COMPUTED_VALUE"""),43495.6666666666)</f>
        <v>43495.666666666599</v>
      </c>
      <c r="B2106" s="4">
        <f ca="1">IFERROR(__xludf.DUMMYFUNCTION("""COMPUTED_VALUE"""),1089.06)</f>
        <v>1089.06</v>
      </c>
      <c r="C2106" s="5">
        <f t="shared" ca="1" si="0"/>
        <v>2.6461296058094674E-2</v>
      </c>
    </row>
    <row r="2107" spans="1:3" ht="13" x14ac:dyDescent="0.15">
      <c r="A2107" s="3">
        <f ca="1">IFERROR(__xludf.DUMMYFUNCTION("""COMPUTED_VALUE"""),43496.6666666666)</f>
        <v>43496.666666666599</v>
      </c>
      <c r="B2107" s="4">
        <f ca="1">IFERROR(__xludf.DUMMYFUNCTION("""COMPUTED_VALUE"""),1116.37)</f>
        <v>1116.3699999999999</v>
      </c>
      <c r="C2107" s="5">
        <f t="shared" ca="1" si="0"/>
        <v>2.4767411378307742E-2</v>
      </c>
    </row>
    <row r="2108" spans="1:3" ht="13" x14ac:dyDescent="0.15">
      <c r="A2108" s="3">
        <f ca="1">IFERROR(__xludf.DUMMYFUNCTION("""COMPUTED_VALUE"""),43497.6666666666)</f>
        <v>43497.666666666599</v>
      </c>
      <c r="B2108" s="4">
        <f ca="1">IFERROR(__xludf.DUMMYFUNCTION("""COMPUTED_VALUE"""),1110.75)</f>
        <v>1110.75</v>
      </c>
      <c r="C2108" s="5">
        <f t="shared" ca="1" si="0"/>
        <v>-5.0468873962310869E-3</v>
      </c>
    </row>
    <row r="2109" spans="1:3" ht="13" x14ac:dyDescent="0.15">
      <c r="A2109" s="3">
        <f ca="1">IFERROR(__xludf.DUMMYFUNCTION("""COMPUTED_VALUE"""),43500.6666666666)</f>
        <v>43500.666666666599</v>
      </c>
      <c r="B2109" s="4">
        <f ca="1">IFERROR(__xludf.DUMMYFUNCTION("""COMPUTED_VALUE"""),1132.8)</f>
        <v>1132.8</v>
      </c>
      <c r="C2109" s="5">
        <f t="shared" ca="1" si="0"/>
        <v>1.9656981123437448E-2</v>
      </c>
    </row>
    <row r="2110" spans="1:3" ht="13" x14ac:dyDescent="0.15">
      <c r="A2110" s="3">
        <f ca="1">IFERROR(__xludf.DUMMYFUNCTION("""COMPUTED_VALUE"""),43501.6666666666)</f>
        <v>43501.666666666599</v>
      </c>
      <c r="B2110" s="4">
        <f ca="1">IFERROR(__xludf.DUMMYFUNCTION("""COMPUTED_VALUE"""),1145.99)</f>
        <v>1145.99</v>
      </c>
      <c r="C2110" s="5">
        <f t="shared" ca="1" si="0"/>
        <v>1.1576448293667446E-2</v>
      </c>
    </row>
    <row r="2111" spans="1:3" ht="13" x14ac:dyDescent="0.15">
      <c r="A2111" s="3">
        <f ca="1">IFERROR(__xludf.DUMMYFUNCTION("""COMPUTED_VALUE"""),43502.6666666666)</f>
        <v>43502.666666666599</v>
      </c>
      <c r="B2111" s="4">
        <f ca="1">IFERROR(__xludf.DUMMYFUNCTION("""COMPUTED_VALUE"""),1115.23)</f>
        <v>1115.23</v>
      </c>
      <c r="C2111" s="5">
        <f t="shared" ca="1" si="0"/>
        <v>-2.7208230584384548E-2</v>
      </c>
    </row>
    <row r="2112" spans="1:3" ht="13" x14ac:dyDescent="0.15">
      <c r="A2112" s="3">
        <f ca="1">IFERROR(__xludf.DUMMYFUNCTION("""COMPUTED_VALUE"""),43503.6666666666)</f>
        <v>43503.666666666599</v>
      </c>
      <c r="B2112" s="4">
        <f ca="1">IFERROR(__xludf.DUMMYFUNCTION("""COMPUTED_VALUE"""),1098.71)</f>
        <v>1098.71</v>
      </c>
      <c r="C2112" s="5">
        <f t="shared" ca="1" si="0"/>
        <v>-1.4923897317717878E-2</v>
      </c>
    </row>
    <row r="2113" spans="1:3" ht="13" x14ac:dyDescent="0.15">
      <c r="A2113" s="3">
        <f ca="1">IFERROR(__xludf.DUMMYFUNCTION("""COMPUTED_VALUE"""),43504.6666666666)</f>
        <v>43504.666666666599</v>
      </c>
      <c r="B2113" s="4">
        <f ca="1">IFERROR(__xludf.DUMMYFUNCTION("""COMPUTED_VALUE"""),1095.06)</f>
        <v>1095.06</v>
      </c>
      <c r="C2113" s="5">
        <f t="shared" ca="1" si="0"/>
        <v>-3.3276080610359802E-3</v>
      </c>
    </row>
    <row r="2114" spans="1:3" ht="13" x14ac:dyDescent="0.15">
      <c r="A2114" s="3">
        <f ca="1">IFERROR(__xludf.DUMMYFUNCTION("""COMPUTED_VALUE"""),43507.6666666666)</f>
        <v>43507.666666666599</v>
      </c>
      <c r="B2114" s="4">
        <f ca="1">IFERROR(__xludf.DUMMYFUNCTION("""COMPUTED_VALUE"""),1095.01)</f>
        <v>1095.01</v>
      </c>
      <c r="C2114" s="5">
        <f t="shared" ca="1" si="0"/>
        <v>-4.5660640991934017E-5</v>
      </c>
    </row>
    <row r="2115" spans="1:3" ht="13" x14ac:dyDescent="0.15">
      <c r="A2115" s="3">
        <f ca="1">IFERROR(__xludf.DUMMYFUNCTION("""COMPUTED_VALUE"""),43508.6666666666)</f>
        <v>43508.666666666599</v>
      </c>
      <c r="B2115" s="4">
        <f ca="1">IFERROR(__xludf.DUMMYFUNCTION("""COMPUTED_VALUE"""),1121.37)</f>
        <v>1121.3699999999999</v>
      </c>
      <c r="C2115" s="5">
        <f t="shared" ca="1" si="0"/>
        <v>2.3787656428788061E-2</v>
      </c>
    </row>
    <row r="2116" spans="1:3" ht="13" x14ac:dyDescent="0.15">
      <c r="A2116" s="3">
        <f ca="1">IFERROR(__xludf.DUMMYFUNCTION("""COMPUTED_VALUE"""),43509.6666666666)</f>
        <v>43509.666666666599</v>
      </c>
      <c r="B2116" s="4">
        <f ca="1">IFERROR(__xludf.DUMMYFUNCTION("""COMPUTED_VALUE"""),1120.16)</f>
        <v>1120.1600000000001</v>
      </c>
      <c r="C2116" s="5">
        <f t="shared" ca="1" si="0"/>
        <v>-1.0796198288927977E-3</v>
      </c>
    </row>
    <row r="2117" spans="1:3" ht="13" x14ac:dyDescent="0.15">
      <c r="A2117" s="3">
        <f ca="1">IFERROR(__xludf.DUMMYFUNCTION("""COMPUTED_VALUE"""),43510.6666666666)</f>
        <v>43510.666666666599</v>
      </c>
      <c r="B2117" s="4">
        <f ca="1">IFERROR(__xludf.DUMMYFUNCTION("""COMPUTED_VALUE"""),1121.67)</f>
        <v>1121.67</v>
      </c>
      <c r="C2117" s="5">
        <f t="shared" ca="1" si="0"/>
        <v>1.3471139456173956E-3</v>
      </c>
    </row>
    <row r="2118" spans="1:3" ht="13" x14ac:dyDescent="0.15">
      <c r="A2118" s="3">
        <f ca="1">IFERROR(__xludf.DUMMYFUNCTION("""COMPUTED_VALUE"""),43511.6666666666)</f>
        <v>43511.666666666599</v>
      </c>
      <c r="B2118" s="4">
        <f ca="1">IFERROR(__xludf.DUMMYFUNCTION("""COMPUTED_VALUE"""),1113.65)</f>
        <v>1113.6500000000001</v>
      </c>
      <c r="C2118" s="5">
        <f t="shared" ca="1" si="0"/>
        <v>-7.1757371770113446E-3</v>
      </c>
    </row>
    <row r="2119" spans="1:3" ht="13" x14ac:dyDescent="0.15">
      <c r="A2119" s="3">
        <f ca="1">IFERROR(__xludf.DUMMYFUNCTION("""COMPUTED_VALUE"""),43515.6666666666)</f>
        <v>43515.666666666599</v>
      </c>
      <c r="B2119" s="4">
        <f ca="1">IFERROR(__xludf.DUMMYFUNCTION("""COMPUTED_VALUE"""),1118.56)</f>
        <v>1118.56</v>
      </c>
      <c r="C2119" s="5">
        <f t="shared" ca="1" si="0"/>
        <v>4.3992347661813034E-3</v>
      </c>
    </row>
    <row r="2120" spans="1:3" ht="13" x14ac:dyDescent="0.15">
      <c r="A2120" s="3">
        <f ca="1">IFERROR(__xludf.DUMMYFUNCTION("""COMPUTED_VALUE"""),43516.6666666666)</f>
        <v>43516.666666666599</v>
      </c>
      <c r="B2120" s="4">
        <f ca="1">IFERROR(__xludf.DUMMYFUNCTION("""COMPUTED_VALUE"""),1113.8)</f>
        <v>1113.8</v>
      </c>
      <c r="C2120" s="5">
        <f t="shared" ca="1" si="0"/>
        <v>-4.2645516081068141E-3</v>
      </c>
    </row>
    <row r="2121" spans="1:3" ht="13" x14ac:dyDescent="0.15">
      <c r="A2121" s="3">
        <f ca="1">IFERROR(__xludf.DUMMYFUNCTION("""COMPUTED_VALUE"""),43517.6666666666)</f>
        <v>43517.666666666599</v>
      </c>
      <c r="B2121" s="4">
        <f ca="1">IFERROR(__xludf.DUMMYFUNCTION("""COMPUTED_VALUE"""),1096.97)</f>
        <v>1096.97</v>
      </c>
      <c r="C2121" s="5">
        <f t="shared" ca="1" si="0"/>
        <v>-1.5225758565130167E-2</v>
      </c>
    </row>
    <row r="2122" spans="1:3" ht="13" x14ac:dyDescent="0.15">
      <c r="A2122" s="3">
        <f ca="1">IFERROR(__xludf.DUMMYFUNCTION("""COMPUTED_VALUE"""),43518.6666666666)</f>
        <v>43518.666666666599</v>
      </c>
      <c r="B2122" s="4">
        <f ca="1">IFERROR(__xludf.DUMMYFUNCTION("""COMPUTED_VALUE"""),1110.37)</f>
        <v>1110.3699999999999</v>
      </c>
      <c r="C2122" s="5">
        <f t="shared" ca="1" si="0"/>
        <v>1.214145950606217E-2</v>
      </c>
    </row>
    <row r="2123" spans="1:3" ht="13" x14ac:dyDescent="0.15">
      <c r="A2123" s="3">
        <f ca="1">IFERROR(__xludf.DUMMYFUNCTION("""COMPUTED_VALUE"""),43521.6666666666)</f>
        <v>43521.666666666599</v>
      </c>
      <c r="B2123" s="4">
        <f ca="1">IFERROR(__xludf.DUMMYFUNCTION("""COMPUTED_VALUE"""),1109.4)</f>
        <v>1109.4000000000001</v>
      </c>
      <c r="C2123" s="5">
        <f t="shared" ca="1" si="0"/>
        <v>-8.7396447536580246E-4</v>
      </c>
    </row>
    <row r="2124" spans="1:3" ht="13" x14ac:dyDescent="0.15">
      <c r="A2124" s="3">
        <f ca="1">IFERROR(__xludf.DUMMYFUNCTION("""COMPUTED_VALUE"""),43522.6666666666)</f>
        <v>43522.666666666599</v>
      </c>
      <c r="B2124" s="4">
        <f ca="1">IFERROR(__xludf.DUMMYFUNCTION("""COMPUTED_VALUE"""),1115.13)</f>
        <v>1115.1300000000001</v>
      </c>
      <c r="C2124" s="5">
        <f t="shared" ca="1" si="0"/>
        <v>5.1516614050254221E-3</v>
      </c>
    </row>
    <row r="2125" spans="1:3" ht="13" x14ac:dyDescent="0.15">
      <c r="A2125" s="3">
        <f ca="1">IFERROR(__xludf.DUMMYFUNCTION("""COMPUTED_VALUE"""),43523.6666666666)</f>
        <v>43523.666666666599</v>
      </c>
      <c r="B2125" s="4">
        <f ca="1">IFERROR(__xludf.DUMMYFUNCTION("""COMPUTED_VALUE"""),1116.05)</f>
        <v>1116.05</v>
      </c>
      <c r="C2125" s="5">
        <f t="shared" ca="1" si="0"/>
        <v>8.2467577886152397E-4</v>
      </c>
    </row>
    <row r="2126" spans="1:3" ht="13" x14ac:dyDescent="0.15">
      <c r="A2126" s="3">
        <f ca="1">IFERROR(__xludf.DUMMYFUNCTION("""COMPUTED_VALUE"""),43524.6666666666)</f>
        <v>43524.666666666599</v>
      </c>
      <c r="B2126" s="4">
        <f ca="1">IFERROR(__xludf.DUMMYFUNCTION("""COMPUTED_VALUE"""),1119.92)</f>
        <v>1119.92</v>
      </c>
      <c r="C2126" s="5">
        <f t="shared" ca="1" si="0"/>
        <v>3.4615883615485279E-3</v>
      </c>
    </row>
    <row r="2127" spans="1:3" ht="13" x14ac:dyDescent="0.15">
      <c r="A2127" s="3">
        <f ca="1">IFERROR(__xludf.DUMMYFUNCTION("""COMPUTED_VALUE"""),43525.6666666666)</f>
        <v>43525.666666666599</v>
      </c>
      <c r="B2127" s="4">
        <f ca="1">IFERROR(__xludf.DUMMYFUNCTION("""COMPUTED_VALUE"""),1140.99)</f>
        <v>1140.99</v>
      </c>
      <c r="C2127" s="5">
        <f t="shared" ca="1" si="0"/>
        <v>1.8639052415206442E-2</v>
      </c>
    </row>
    <row r="2128" spans="1:3" ht="13" x14ac:dyDescent="0.15">
      <c r="A2128" s="3">
        <f ca="1">IFERROR(__xludf.DUMMYFUNCTION("""COMPUTED_VALUE"""),43528.6666666666)</f>
        <v>43528.666666666599</v>
      </c>
      <c r="B2128" s="4">
        <f ca="1">IFERROR(__xludf.DUMMYFUNCTION("""COMPUTED_VALUE"""),1147.8)</f>
        <v>1147.8</v>
      </c>
      <c r="C2128" s="5">
        <f t="shared" ca="1" si="0"/>
        <v>5.9507600924857719E-3</v>
      </c>
    </row>
    <row r="2129" spans="1:3" ht="13" x14ac:dyDescent="0.15">
      <c r="A2129" s="3">
        <f ca="1">IFERROR(__xludf.DUMMYFUNCTION("""COMPUTED_VALUE"""),43529.6666666666)</f>
        <v>43529.666666666599</v>
      </c>
      <c r="B2129" s="4">
        <f ca="1">IFERROR(__xludf.DUMMYFUNCTION("""COMPUTED_VALUE"""),1162.03)</f>
        <v>1162.03</v>
      </c>
      <c r="C2129" s="5">
        <f t="shared" ca="1" si="0"/>
        <v>1.232140896026509E-2</v>
      </c>
    </row>
    <row r="2130" spans="1:3" ht="13" x14ac:dyDescent="0.15">
      <c r="A2130" s="3">
        <f ca="1">IFERROR(__xludf.DUMMYFUNCTION("""COMPUTED_VALUE"""),43530.6666666666)</f>
        <v>43530.666666666599</v>
      </c>
      <c r="B2130" s="4">
        <f ca="1">IFERROR(__xludf.DUMMYFUNCTION("""COMPUTED_VALUE"""),1157.86)</f>
        <v>1157.8599999999999</v>
      </c>
      <c r="C2130" s="5">
        <f t="shared" ca="1" si="0"/>
        <v>-3.5950019105238321E-3</v>
      </c>
    </row>
    <row r="2131" spans="1:3" ht="13" x14ac:dyDescent="0.15">
      <c r="A2131" s="3">
        <f ca="1">IFERROR(__xludf.DUMMYFUNCTION("""COMPUTED_VALUE"""),43531.6666666666)</f>
        <v>43531.666666666599</v>
      </c>
      <c r="B2131" s="4">
        <f ca="1">IFERROR(__xludf.DUMMYFUNCTION("""COMPUTED_VALUE"""),1143.3)</f>
        <v>1143.3</v>
      </c>
      <c r="C2131" s="5">
        <f t="shared" ca="1" si="0"/>
        <v>-1.2654656176079188E-2</v>
      </c>
    </row>
    <row r="2132" spans="1:3" ht="13" x14ac:dyDescent="0.15">
      <c r="A2132" s="3">
        <f ca="1">IFERROR(__xludf.DUMMYFUNCTION("""COMPUTED_VALUE"""),43532.6666666666)</f>
        <v>43532.666666666599</v>
      </c>
      <c r="B2132" s="4">
        <f ca="1">IFERROR(__xludf.DUMMYFUNCTION("""COMPUTED_VALUE"""),1142.32)</f>
        <v>1142.32</v>
      </c>
      <c r="C2132" s="5">
        <f t="shared" ca="1" si="0"/>
        <v>-8.5753542588445865E-4</v>
      </c>
    </row>
    <row r="2133" spans="1:3" ht="13" x14ac:dyDescent="0.15">
      <c r="A2133" s="3">
        <f ca="1">IFERROR(__xludf.DUMMYFUNCTION("""COMPUTED_VALUE"""),43535.6666666666)</f>
        <v>43535.666666666599</v>
      </c>
      <c r="B2133" s="4">
        <f ca="1">IFERROR(__xludf.DUMMYFUNCTION("""COMPUTED_VALUE"""),1175.76)</f>
        <v>1175.76</v>
      </c>
      <c r="C2133" s="5">
        <f t="shared" ca="1" si="0"/>
        <v>2.8853464876389404E-2</v>
      </c>
    </row>
    <row r="2134" spans="1:3" ht="13" x14ac:dyDescent="0.15">
      <c r="A2134" s="3">
        <f ca="1">IFERROR(__xludf.DUMMYFUNCTION("""COMPUTED_VALUE"""),43536.6666666666)</f>
        <v>43536.666666666599</v>
      </c>
      <c r="B2134" s="4">
        <f ca="1">IFERROR(__xludf.DUMMYFUNCTION("""COMPUTED_VALUE"""),1193.2)</f>
        <v>1193.2</v>
      </c>
      <c r="C2134" s="5">
        <f t="shared" ca="1" si="0"/>
        <v>1.4724026642164456E-2</v>
      </c>
    </row>
    <row r="2135" spans="1:3" ht="13" x14ac:dyDescent="0.15">
      <c r="A2135" s="3">
        <f ca="1">IFERROR(__xludf.DUMMYFUNCTION("""COMPUTED_VALUE"""),43537.6666666666)</f>
        <v>43537.666666666599</v>
      </c>
      <c r="B2135" s="4">
        <f ca="1">IFERROR(__xludf.DUMMYFUNCTION("""COMPUTED_VALUE"""),1193.32)</f>
        <v>1193.32</v>
      </c>
      <c r="C2135" s="5">
        <f t="shared" ca="1" si="0"/>
        <v>1.0056483926469205E-4</v>
      </c>
    </row>
    <row r="2136" spans="1:3" ht="13" x14ac:dyDescent="0.15">
      <c r="A2136" s="3">
        <f ca="1">IFERROR(__xludf.DUMMYFUNCTION("""COMPUTED_VALUE"""),43538.6666666666)</f>
        <v>43538.666666666599</v>
      </c>
      <c r="B2136" s="4">
        <f ca="1">IFERROR(__xludf.DUMMYFUNCTION("""COMPUTED_VALUE"""),1185.55)</f>
        <v>1185.55</v>
      </c>
      <c r="C2136" s="5">
        <f t="shared" ca="1" si="0"/>
        <v>-6.532536566871922E-3</v>
      </c>
    </row>
    <row r="2137" spans="1:3" ht="13" x14ac:dyDescent="0.15">
      <c r="A2137" s="3">
        <f ca="1">IFERROR(__xludf.DUMMYFUNCTION("""COMPUTED_VALUE"""),43539.6666666666)</f>
        <v>43539.666666666599</v>
      </c>
      <c r="B2137" s="4">
        <f ca="1">IFERROR(__xludf.DUMMYFUNCTION("""COMPUTED_VALUE"""),1184.46)</f>
        <v>1184.46</v>
      </c>
      <c r="C2137" s="5">
        <f t="shared" ca="1" si="0"/>
        <v>-9.1982740735469838E-4</v>
      </c>
    </row>
    <row r="2138" spans="1:3" ht="13" x14ac:dyDescent="0.15">
      <c r="A2138" s="3">
        <f ca="1">IFERROR(__xludf.DUMMYFUNCTION("""COMPUTED_VALUE"""),43542.6666666666)</f>
        <v>43542.666666666599</v>
      </c>
      <c r="B2138" s="4">
        <f ca="1">IFERROR(__xludf.DUMMYFUNCTION("""COMPUTED_VALUE"""),1184.26)</f>
        <v>1184.26</v>
      </c>
      <c r="C2138" s="5">
        <f t="shared" ca="1" si="0"/>
        <v>-1.6886757444976858E-4</v>
      </c>
    </row>
    <row r="2139" spans="1:3" ht="13" x14ac:dyDescent="0.15">
      <c r="A2139" s="3">
        <f ca="1">IFERROR(__xludf.DUMMYFUNCTION("""COMPUTED_VALUE"""),43543.6666666666)</f>
        <v>43543.666666666599</v>
      </c>
      <c r="B2139" s="4">
        <f ca="1">IFERROR(__xludf.DUMMYFUNCTION("""COMPUTED_VALUE"""),1198.85)</f>
        <v>1198.8499999999999</v>
      </c>
      <c r="C2139" s="5">
        <f t="shared" ca="1" si="0"/>
        <v>1.2244657016597962E-2</v>
      </c>
    </row>
    <row r="2140" spans="1:3" ht="13" x14ac:dyDescent="0.15">
      <c r="A2140" s="3">
        <f ca="1">IFERROR(__xludf.DUMMYFUNCTION("""COMPUTED_VALUE"""),43544.6666666666)</f>
        <v>43544.666666666599</v>
      </c>
      <c r="B2140" s="4">
        <f ca="1">IFERROR(__xludf.DUMMYFUNCTION("""COMPUTED_VALUE"""),1223.97)</f>
        <v>1223.97</v>
      </c>
      <c r="C2140" s="5">
        <f t="shared" ca="1" si="0"/>
        <v>2.0736910020200106E-2</v>
      </c>
    </row>
    <row r="2141" spans="1:3" ht="13" x14ac:dyDescent="0.15">
      <c r="A2141" s="3">
        <f ca="1">IFERROR(__xludf.DUMMYFUNCTION("""COMPUTED_VALUE"""),43545.6666666666)</f>
        <v>43545.666666666599</v>
      </c>
      <c r="B2141" s="4">
        <f ca="1">IFERROR(__xludf.DUMMYFUNCTION("""COMPUTED_VALUE"""),1231.54)</f>
        <v>1231.54</v>
      </c>
      <c r="C2141" s="5">
        <f t="shared" ca="1" si="0"/>
        <v>6.1657447797016287E-3</v>
      </c>
    </row>
    <row r="2142" spans="1:3" ht="13" x14ac:dyDescent="0.15">
      <c r="A2142" s="3">
        <f ca="1">IFERROR(__xludf.DUMMYFUNCTION("""COMPUTED_VALUE"""),43546.6666666666)</f>
        <v>43546.666666666599</v>
      </c>
      <c r="B2142" s="4">
        <f ca="1">IFERROR(__xludf.DUMMYFUNCTION("""COMPUTED_VALUE"""),1205.5)</f>
        <v>1205.5</v>
      </c>
      <c r="C2142" s="5">
        <f t="shared" ca="1" si="0"/>
        <v>-2.1371000126455514E-2</v>
      </c>
    </row>
    <row r="2143" spans="1:3" ht="13" x14ac:dyDescent="0.15">
      <c r="A2143" s="3">
        <f ca="1">IFERROR(__xludf.DUMMYFUNCTION("""COMPUTED_VALUE"""),43549.6666666666)</f>
        <v>43549.666666666599</v>
      </c>
      <c r="B2143" s="4">
        <f ca="1">IFERROR(__xludf.DUMMYFUNCTION("""COMPUTED_VALUE"""),1193)</f>
        <v>1193</v>
      </c>
      <c r="C2143" s="5">
        <f t="shared" ca="1" si="0"/>
        <v>-1.042327552330961E-2</v>
      </c>
    </row>
    <row r="2144" spans="1:3" ht="13" x14ac:dyDescent="0.15">
      <c r="A2144" s="3">
        <f ca="1">IFERROR(__xludf.DUMMYFUNCTION("""COMPUTED_VALUE"""),43550.6666666666)</f>
        <v>43550.666666666599</v>
      </c>
      <c r="B2144" s="4">
        <f ca="1">IFERROR(__xludf.DUMMYFUNCTION("""COMPUTED_VALUE"""),1184.62)</f>
        <v>1184.6199999999999</v>
      </c>
      <c r="C2144" s="5">
        <f t="shared" ca="1" si="0"/>
        <v>-7.0490950614261073E-3</v>
      </c>
    </row>
    <row r="2145" spans="1:3" ht="13" x14ac:dyDescent="0.15">
      <c r="A2145" s="3">
        <f ca="1">IFERROR(__xludf.DUMMYFUNCTION("""COMPUTED_VALUE"""),43551.6666666666)</f>
        <v>43551.666666666599</v>
      </c>
      <c r="B2145" s="4">
        <f ca="1">IFERROR(__xludf.DUMMYFUNCTION("""COMPUTED_VALUE"""),1173.02)</f>
        <v>1173.02</v>
      </c>
      <c r="C2145" s="5">
        <f t="shared" ca="1" si="0"/>
        <v>-9.8404282299890625E-3</v>
      </c>
    </row>
    <row r="2146" spans="1:3" ht="13" x14ac:dyDescent="0.15">
      <c r="A2146" s="3">
        <f ca="1">IFERROR(__xludf.DUMMYFUNCTION("""COMPUTED_VALUE"""),43552.6666666666)</f>
        <v>43552.666666666599</v>
      </c>
      <c r="B2146" s="4">
        <f ca="1">IFERROR(__xludf.DUMMYFUNCTION("""COMPUTED_VALUE"""),1168.49)</f>
        <v>1168.49</v>
      </c>
      <c r="C2146" s="5">
        <f t="shared" ca="1" si="0"/>
        <v>-3.8693028445246714E-3</v>
      </c>
    </row>
    <row r="2147" spans="1:3" ht="13" x14ac:dyDescent="0.15">
      <c r="A2147" s="3">
        <f ca="1">IFERROR(__xludf.DUMMYFUNCTION("""COMPUTED_VALUE"""),43553.6666666666)</f>
        <v>43553.666666666599</v>
      </c>
      <c r="B2147" s="4">
        <f ca="1">IFERROR(__xludf.DUMMYFUNCTION("""COMPUTED_VALUE"""),1173.31)</f>
        <v>1173.31</v>
      </c>
      <c r="C2147" s="5">
        <f t="shared" ca="1" si="0"/>
        <v>4.1164974006841284E-3</v>
      </c>
    </row>
    <row r="2148" spans="1:3" ht="13" x14ac:dyDescent="0.15">
      <c r="A2148" s="3">
        <f ca="1">IFERROR(__xludf.DUMMYFUNCTION("""COMPUTED_VALUE"""),43556.6666666666)</f>
        <v>43556.666666666599</v>
      </c>
      <c r="B2148" s="4">
        <f ca="1">IFERROR(__xludf.DUMMYFUNCTION("""COMPUTED_VALUE"""),1194.43)</f>
        <v>1194.43</v>
      </c>
      <c r="C2148" s="5">
        <f t="shared" ca="1" si="0"/>
        <v>1.7840269760552186E-2</v>
      </c>
    </row>
    <row r="2149" spans="1:3" ht="13" x14ac:dyDescent="0.15">
      <c r="A2149" s="3">
        <f ca="1">IFERROR(__xludf.DUMMYFUNCTION("""COMPUTED_VALUE"""),43557.6666666666)</f>
        <v>43557.666666666599</v>
      </c>
      <c r="B2149" s="4">
        <f ca="1">IFERROR(__xludf.DUMMYFUNCTION("""COMPUTED_VALUE"""),1200.49)</f>
        <v>1200.49</v>
      </c>
      <c r="C2149" s="5">
        <f t="shared" ca="1" si="0"/>
        <v>5.0607226408446873E-3</v>
      </c>
    </row>
    <row r="2150" spans="1:3" ht="13" x14ac:dyDescent="0.15">
      <c r="A2150" s="3">
        <f ca="1">IFERROR(__xludf.DUMMYFUNCTION("""COMPUTED_VALUE"""),43558.6666666666)</f>
        <v>43558.666666666599</v>
      </c>
      <c r="B2150" s="4">
        <f ca="1">IFERROR(__xludf.DUMMYFUNCTION("""COMPUTED_VALUE"""),1205.92)</f>
        <v>1205.92</v>
      </c>
      <c r="C2150" s="5">
        <f t="shared" ca="1" si="0"/>
        <v>4.5129543311026111E-3</v>
      </c>
    </row>
    <row r="2151" spans="1:3" ht="13" x14ac:dyDescent="0.15">
      <c r="A2151" s="3">
        <f ca="1">IFERROR(__xludf.DUMMYFUNCTION("""COMPUTED_VALUE"""),43559.6666666666)</f>
        <v>43559.666666666599</v>
      </c>
      <c r="B2151" s="4">
        <f ca="1">IFERROR(__xludf.DUMMYFUNCTION("""COMPUTED_VALUE"""),1215)</f>
        <v>1215</v>
      </c>
      <c r="C2151" s="5">
        <f t="shared" ca="1" si="0"/>
        <v>7.5013156794890741E-3</v>
      </c>
    </row>
    <row r="2152" spans="1:3" ht="13" x14ac:dyDescent="0.15">
      <c r="A2152" s="3">
        <f ca="1">IFERROR(__xludf.DUMMYFUNCTION("""COMPUTED_VALUE"""),43560.6666666666)</f>
        <v>43560.666666666599</v>
      </c>
      <c r="B2152" s="4">
        <f ca="1">IFERROR(__xludf.DUMMYFUNCTION("""COMPUTED_VALUE"""),1207.15)</f>
        <v>1207.1500000000001</v>
      </c>
      <c r="C2152" s="5">
        <f t="shared" ca="1" si="0"/>
        <v>-6.4818673364855283E-3</v>
      </c>
    </row>
    <row r="2153" spans="1:3" ht="13" x14ac:dyDescent="0.15">
      <c r="A2153" s="3">
        <f ca="1">IFERROR(__xludf.DUMMYFUNCTION("""COMPUTED_VALUE"""),43563.6666666666)</f>
        <v>43563.666666666599</v>
      </c>
      <c r="B2153" s="4">
        <f ca="1">IFERROR(__xludf.DUMMYFUNCTION("""COMPUTED_VALUE"""),1203.84)</f>
        <v>1203.8399999999999</v>
      </c>
      <c r="C2153" s="5">
        <f t="shared" ca="1" si="0"/>
        <v>-2.7457617655525278E-3</v>
      </c>
    </row>
    <row r="2154" spans="1:3" ht="13" x14ac:dyDescent="0.15">
      <c r="A2154" s="3">
        <f ca="1">IFERROR(__xludf.DUMMYFUNCTION("""COMPUTED_VALUE"""),43564.6666666666)</f>
        <v>43564.666666666599</v>
      </c>
      <c r="B2154" s="4">
        <f ca="1">IFERROR(__xludf.DUMMYFUNCTION("""COMPUTED_VALUE"""),1197.25)</f>
        <v>1197.25</v>
      </c>
      <c r="C2154" s="5">
        <f t="shared" ca="1" si="0"/>
        <v>-5.4891874498920632E-3</v>
      </c>
    </row>
    <row r="2155" spans="1:3" ht="13" x14ac:dyDescent="0.15">
      <c r="A2155" s="3">
        <f ca="1">IFERROR(__xludf.DUMMYFUNCTION("""COMPUTED_VALUE"""),43565.6666666666)</f>
        <v>43565.666666666599</v>
      </c>
      <c r="B2155" s="4">
        <f ca="1">IFERROR(__xludf.DUMMYFUNCTION("""COMPUTED_VALUE"""),1202.16)</f>
        <v>1202.1600000000001</v>
      </c>
      <c r="C2155" s="5">
        <f t="shared" ca="1" si="0"/>
        <v>4.0926784947523612E-3</v>
      </c>
    </row>
    <row r="2156" spans="1:3" ht="13" x14ac:dyDescent="0.15">
      <c r="A2156" s="3">
        <f ca="1">IFERROR(__xludf.DUMMYFUNCTION("""COMPUTED_VALUE"""),43566.6666666666)</f>
        <v>43566.666666666599</v>
      </c>
      <c r="B2156" s="4">
        <f ca="1">IFERROR(__xludf.DUMMYFUNCTION("""COMPUTED_VALUE"""),1204.62)</f>
        <v>1204.6199999999999</v>
      </c>
      <c r="C2156" s="5">
        <f t="shared" ca="1" si="0"/>
        <v>2.0442257760707994E-3</v>
      </c>
    </row>
    <row r="2157" spans="1:3" ht="13" x14ac:dyDescent="0.15">
      <c r="A2157" s="3">
        <f ca="1">IFERROR(__xludf.DUMMYFUNCTION("""COMPUTED_VALUE"""),43567.6666666666)</f>
        <v>43567.666666666599</v>
      </c>
      <c r="B2157" s="4">
        <f ca="1">IFERROR(__xludf.DUMMYFUNCTION("""COMPUTED_VALUE"""),1217.87)</f>
        <v>1217.8699999999999</v>
      </c>
      <c r="C2157" s="5">
        <f t="shared" ca="1" si="0"/>
        <v>1.0939266731886178E-2</v>
      </c>
    </row>
    <row r="2158" spans="1:3" ht="13" x14ac:dyDescent="0.15">
      <c r="A2158" s="3">
        <f ca="1">IFERROR(__xludf.DUMMYFUNCTION("""COMPUTED_VALUE"""),43570.6666666666)</f>
        <v>43570.666666666599</v>
      </c>
      <c r="B2158" s="4">
        <f ca="1">IFERROR(__xludf.DUMMYFUNCTION("""COMPUTED_VALUE"""),1221.1)</f>
        <v>1221.0999999999999</v>
      </c>
      <c r="C2158" s="5">
        <f t="shared" ca="1" si="0"/>
        <v>2.6486606135479322E-3</v>
      </c>
    </row>
    <row r="2159" spans="1:3" ht="13" x14ac:dyDescent="0.15">
      <c r="A2159" s="3">
        <f ca="1">IFERROR(__xludf.DUMMYFUNCTION("""COMPUTED_VALUE"""),43571.6666666666)</f>
        <v>43571.666666666599</v>
      </c>
      <c r="B2159" s="4">
        <f ca="1">IFERROR(__xludf.DUMMYFUNCTION("""COMPUTED_VALUE"""),1227.13)</f>
        <v>1227.1300000000001</v>
      </c>
      <c r="C2159" s="5">
        <f t="shared" ca="1" si="0"/>
        <v>4.9260177299394409E-3</v>
      </c>
    </row>
    <row r="2160" spans="1:3" ht="13" x14ac:dyDescent="0.15">
      <c r="A2160" s="3">
        <f ca="1">IFERROR(__xludf.DUMMYFUNCTION("""COMPUTED_VALUE"""),43572.6666666666)</f>
        <v>43572.666666666599</v>
      </c>
      <c r="B2160" s="4">
        <f ca="1">IFERROR(__xludf.DUMMYFUNCTION("""COMPUTED_VALUE"""),1236.34)</f>
        <v>1236.3399999999999</v>
      </c>
      <c r="C2160" s="5">
        <f t="shared" ca="1" si="0"/>
        <v>7.4772925270538719E-3</v>
      </c>
    </row>
    <row r="2161" spans="1:3" ht="13" x14ac:dyDescent="0.15">
      <c r="A2161" s="3">
        <f ca="1">IFERROR(__xludf.DUMMYFUNCTION("""COMPUTED_VALUE"""),43573.6666666666)</f>
        <v>43573.666666666599</v>
      </c>
      <c r="B2161" s="4">
        <f ca="1">IFERROR(__xludf.DUMMYFUNCTION("""COMPUTED_VALUE"""),1236.37)</f>
        <v>1236.3699999999999</v>
      </c>
      <c r="C2161" s="5">
        <f t="shared" ca="1" si="0"/>
        <v>2.4264875380802944E-5</v>
      </c>
    </row>
    <row r="2162" spans="1:3" ht="13" x14ac:dyDescent="0.15">
      <c r="A2162" s="3">
        <f ca="1">IFERROR(__xludf.DUMMYFUNCTION("""COMPUTED_VALUE"""),43577.6666666666)</f>
        <v>43577.666666666599</v>
      </c>
      <c r="B2162" s="4">
        <f ca="1">IFERROR(__xludf.DUMMYFUNCTION("""COMPUTED_VALUE"""),1248.84)</f>
        <v>1248.8399999999999</v>
      </c>
      <c r="C2162" s="5">
        <f t="shared" ca="1" si="0"/>
        <v>1.0035453466418076E-2</v>
      </c>
    </row>
    <row r="2163" spans="1:3" ht="13" x14ac:dyDescent="0.15">
      <c r="A2163" s="3">
        <f ca="1">IFERROR(__xludf.DUMMYFUNCTION("""COMPUTED_VALUE"""),43578.6666666666)</f>
        <v>43578.666666666599</v>
      </c>
      <c r="B2163" s="4">
        <f ca="1">IFERROR(__xludf.DUMMYFUNCTION("""COMPUTED_VALUE"""),1264.55)</f>
        <v>1264.55</v>
      </c>
      <c r="C2163" s="5">
        <f t="shared" ca="1" si="0"/>
        <v>1.2501207211194265E-2</v>
      </c>
    </row>
    <row r="2164" spans="1:3" ht="13" x14ac:dyDescent="0.15">
      <c r="A2164" s="3">
        <f ca="1">IFERROR(__xludf.DUMMYFUNCTION("""COMPUTED_VALUE"""),43579.6666666666)</f>
        <v>43579.666666666599</v>
      </c>
      <c r="B2164" s="4">
        <f ca="1">IFERROR(__xludf.DUMMYFUNCTION("""COMPUTED_VALUE"""),1256)</f>
        <v>1256</v>
      </c>
      <c r="C2164" s="5">
        <f t="shared" ca="1" si="0"/>
        <v>-6.7842596208184834E-3</v>
      </c>
    </row>
    <row r="2165" spans="1:3" ht="13" x14ac:dyDescent="0.15">
      <c r="A2165" s="3">
        <f ca="1">IFERROR(__xludf.DUMMYFUNCTION("""COMPUTED_VALUE"""),43580.6666666666)</f>
        <v>43580.666666666599</v>
      </c>
      <c r="B2165" s="4">
        <f ca="1">IFERROR(__xludf.DUMMYFUNCTION("""COMPUTED_VALUE"""),1263.45)</f>
        <v>1263.45</v>
      </c>
      <c r="C2165" s="5">
        <f t="shared" ca="1" si="0"/>
        <v>5.9140064013384463E-3</v>
      </c>
    </row>
    <row r="2166" spans="1:3" ht="13" x14ac:dyDescent="0.15">
      <c r="A2166" s="3">
        <f ca="1">IFERROR(__xludf.DUMMYFUNCTION("""COMPUTED_VALUE"""),43581.6666666666)</f>
        <v>43581.666666666599</v>
      </c>
      <c r="B2166" s="4">
        <f ca="1">IFERROR(__xludf.DUMMYFUNCTION("""COMPUTED_VALUE"""),1272.18)</f>
        <v>1272.18</v>
      </c>
      <c r="C2166" s="5">
        <f t="shared" ca="1" si="0"/>
        <v>6.8858898930318204E-3</v>
      </c>
    </row>
    <row r="2167" spans="1:3" ht="13" x14ac:dyDescent="0.15">
      <c r="A2167" s="3">
        <f ca="1">IFERROR(__xludf.DUMMYFUNCTION("""COMPUTED_VALUE"""),43584.6666666666)</f>
        <v>43584.666666666599</v>
      </c>
      <c r="B2167" s="4">
        <f ca="1">IFERROR(__xludf.DUMMYFUNCTION("""COMPUTED_VALUE"""),1287.58)</f>
        <v>1287.58</v>
      </c>
      <c r="C2167" s="5">
        <f t="shared" ca="1" si="0"/>
        <v>1.2032523207350586E-2</v>
      </c>
    </row>
    <row r="2168" spans="1:3" ht="13" x14ac:dyDescent="0.15">
      <c r="A2168" s="3">
        <f ca="1">IFERROR(__xludf.DUMMYFUNCTION("""COMPUTED_VALUE"""),43585.6666666666)</f>
        <v>43585.666666666599</v>
      </c>
      <c r="B2168" s="4">
        <f ca="1">IFERROR(__xludf.DUMMYFUNCTION("""COMPUTED_VALUE"""),1188.48)</f>
        <v>1188.48</v>
      </c>
      <c r="C2168" s="5">
        <f t="shared" ca="1" si="0"/>
        <v>-8.0089307805578464E-2</v>
      </c>
    </row>
    <row r="2169" spans="1:3" ht="13" x14ac:dyDescent="0.15">
      <c r="A2169" s="3">
        <f ca="1">IFERROR(__xludf.DUMMYFUNCTION("""COMPUTED_VALUE"""),43586.6666666666)</f>
        <v>43586.666666666599</v>
      </c>
      <c r="B2169" s="4">
        <f ca="1">IFERROR(__xludf.DUMMYFUNCTION("""COMPUTED_VALUE"""),1168.08)</f>
        <v>1168.08</v>
      </c>
      <c r="C2169" s="5">
        <f t="shared" ca="1" si="0"/>
        <v>-1.7313804530977795E-2</v>
      </c>
    </row>
    <row r="2170" spans="1:3" ht="13" x14ac:dyDescent="0.15">
      <c r="A2170" s="3">
        <f ca="1">IFERROR(__xludf.DUMMYFUNCTION("""COMPUTED_VALUE"""),43587.6666666666)</f>
        <v>43587.666666666599</v>
      </c>
      <c r="B2170" s="4">
        <f ca="1">IFERROR(__xludf.DUMMYFUNCTION("""COMPUTED_VALUE"""),1162.61)</f>
        <v>1162.6099999999999</v>
      </c>
      <c r="C2170" s="5">
        <f t="shared" ca="1" si="0"/>
        <v>-4.6938975524189576E-3</v>
      </c>
    </row>
    <row r="2171" spans="1:3" ht="13" x14ac:dyDescent="0.15">
      <c r="A2171" s="3">
        <f ca="1">IFERROR(__xludf.DUMMYFUNCTION("""COMPUTED_VALUE"""),43588.6666666666)</f>
        <v>43588.666666666599</v>
      </c>
      <c r="B2171" s="4">
        <f ca="1">IFERROR(__xludf.DUMMYFUNCTION("""COMPUTED_VALUE"""),1185.4)</f>
        <v>1185.4000000000001</v>
      </c>
      <c r="C2171" s="5">
        <f t="shared" ca="1" si="0"/>
        <v>1.9412792712848292E-2</v>
      </c>
    </row>
    <row r="2172" spans="1:3" ht="13" x14ac:dyDescent="0.15">
      <c r="A2172" s="3">
        <f ca="1">IFERROR(__xludf.DUMMYFUNCTION("""COMPUTED_VALUE"""),43591.6666666666)</f>
        <v>43591.666666666599</v>
      </c>
      <c r="B2172" s="4">
        <f ca="1">IFERROR(__xludf.DUMMYFUNCTION("""COMPUTED_VALUE"""),1189.39)</f>
        <v>1189.3900000000001</v>
      </c>
      <c r="C2172" s="5">
        <f t="shared" ca="1" si="0"/>
        <v>3.3603002829405331E-3</v>
      </c>
    </row>
    <row r="2173" spans="1:3" ht="13" x14ac:dyDescent="0.15">
      <c r="A2173" s="3">
        <f ca="1">IFERROR(__xludf.DUMMYFUNCTION("""COMPUTED_VALUE"""),43592.6666666666)</f>
        <v>43592.666666666599</v>
      </c>
      <c r="B2173" s="4">
        <f ca="1">IFERROR(__xludf.DUMMYFUNCTION("""COMPUTED_VALUE"""),1174.1)</f>
        <v>1174.0999999999999</v>
      </c>
      <c r="C2173" s="5">
        <f t="shared" ca="1" si="0"/>
        <v>-1.2938674000512438E-2</v>
      </c>
    </row>
    <row r="2174" spans="1:3" ht="13" x14ac:dyDescent="0.15">
      <c r="A2174" s="3">
        <f ca="1">IFERROR(__xludf.DUMMYFUNCTION("""COMPUTED_VALUE"""),43593.6666666666)</f>
        <v>43593.666666666599</v>
      </c>
      <c r="B2174" s="4">
        <f ca="1">IFERROR(__xludf.DUMMYFUNCTION("""COMPUTED_VALUE"""),1166.27)</f>
        <v>1166.27</v>
      </c>
      <c r="C2174" s="5">
        <f t="shared" ca="1" si="0"/>
        <v>-6.691274639875372E-3</v>
      </c>
    </row>
    <row r="2175" spans="1:3" ht="13" x14ac:dyDescent="0.15">
      <c r="A2175" s="3">
        <f ca="1">IFERROR(__xludf.DUMMYFUNCTION("""COMPUTED_VALUE"""),43594.6666666666)</f>
        <v>43594.666666666599</v>
      </c>
      <c r="B2175" s="4">
        <f ca="1">IFERROR(__xludf.DUMMYFUNCTION("""COMPUTED_VALUE"""),1162.38)</f>
        <v>1162.3800000000001</v>
      </c>
      <c r="C2175" s="5">
        <f t="shared" ca="1" si="0"/>
        <v>-3.3409946693810739E-3</v>
      </c>
    </row>
    <row r="2176" spans="1:3" ht="13" x14ac:dyDescent="0.15">
      <c r="A2176" s="3">
        <f ca="1">IFERROR(__xludf.DUMMYFUNCTION("""COMPUTED_VALUE"""),43595.6666666666)</f>
        <v>43595.666666666599</v>
      </c>
      <c r="B2176" s="4">
        <f ca="1">IFERROR(__xludf.DUMMYFUNCTION("""COMPUTED_VALUE"""),1164.27)</f>
        <v>1164.27</v>
      </c>
      <c r="C2176" s="5">
        <f t="shared" ca="1" si="0"/>
        <v>1.6246538290856003E-3</v>
      </c>
    </row>
    <row r="2177" spans="1:3" ht="13" x14ac:dyDescent="0.15">
      <c r="A2177" s="3">
        <f ca="1">IFERROR(__xludf.DUMMYFUNCTION("""COMPUTED_VALUE"""),43598.6666666666)</f>
        <v>43598.666666666599</v>
      </c>
      <c r="B2177" s="4">
        <f ca="1">IFERROR(__xludf.DUMMYFUNCTION("""COMPUTED_VALUE"""),1132.03)</f>
        <v>1132.03</v>
      </c>
      <c r="C2177" s="5">
        <f t="shared" ca="1" si="0"/>
        <v>-2.8081799977248269E-2</v>
      </c>
    </row>
    <row r="2178" spans="1:3" ht="13" x14ac:dyDescent="0.15">
      <c r="A2178" s="3">
        <f ca="1">IFERROR(__xludf.DUMMYFUNCTION("""COMPUTED_VALUE"""),43599.6666666666)</f>
        <v>43599.666666666599</v>
      </c>
      <c r="B2178" s="4">
        <f ca="1">IFERROR(__xludf.DUMMYFUNCTION("""COMPUTED_VALUE"""),1120.44)</f>
        <v>1120.44</v>
      </c>
      <c r="C2178" s="5">
        <f t="shared" ca="1" si="0"/>
        <v>-1.0291015894912223E-2</v>
      </c>
    </row>
    <row r="2179" spans="1:3" ht="13" x14ac:dyDescent="0.15">
      <c r="A2179" s="3">
        <f ca="1">IFERROR(__xludf.DUMMYFUNCTION("""COMPUTED_VALUE"""),43600.6666666666)</f>
        <v>43600.666666666599</v>
      </c>
      <c r="B2179" s="4">
        <f ca="1">IFERROR(__xludf.DUMMYFUNCTION("""COMPUTED_VALUE"""),1164.21)</f>
        <v>1164.21</v>
      </c>
      <c r="C2179" s="5">
        <f t="shared" ca="1" si="0"/>
        <v>3.8321280106327543E-2</v>
      </c>
    </row>
    <row r="2180" spans="1:3" ht="13" x14ac:dyDescent="0.15">
      <c r="A2180" s="3">
        <f ca="1">IFERROR(__xludf.DUMMYFUNCTION("""COMPUTED_VALUE"""),43601.6666666666)</f>
        <v>43601.666666666599</v>
      </c>
      <c r="B2180" s="4">
        <f ca="1">IFERROR(__xludf.DUMMYFUNCTION("""COMPUTED_VALUE"""),1178.98)</f>
        <v>1178.98</v>
      </c>
      <c r="C2180" s="5">
        <f t="shared" ca="1" si="0"/>
        <v>1.2606912474912363E-2</v>
      </c>
    </row>
    <row r="2181" spans="1:3" ht="13" x14ac:dyDescent="0.15">
      <c r="A2181" s="3">
        <f ca="1">IFERROR(__xludf.DUMMYFUNCTION("""COMPUTED_VALUE"""),43602.6666666666)</f>
        <v>43602.666666666599</v>
      </c>
      <c r="B2181" s="4">
        <f ca="1">IFERROR(__xludf.DUMMYFUNCTION("""COMPUTED_VALUE"""),1162.3)</f>
        <v>1162.3</v>
      </c>
      <c r="C2181" s="5">
        <f t="shared" ca="1" si="0"/>
        <v>-1.424885721541253E-2</v>
      </c>
    </row>
    <row r="2182" spans="1:3" ht="13" x14ac:dyDescent="0.15">
      <c r="A2182" s="3">
        <f ca="1">IFERROR(__xludf.DUMMYFUNCTION("""COMPUTED_VALUE"""),43605.6666666666)</f>
        <v>43605.666666666599</v>
      </c>
      <c r="B2182" s="4">
        <f ca="1">IFERROR(__xludf.DUMMYFUNCTION("""COMPUTED_VALUE"""),1138.85)</f>
        <v>1138.8499999999999</v>
      </c>
      <c r="C2182" s="5">
        <f t="shared" ca="1" si="0"/>
        <v>-2.0381819343790471E-2</v>
      </c>
    </row>
    <row r="2183" spans="1:3" ht="13" x14ac:dyDescent="0.15">
      <c r="A2183" s="3">
        <f ca="1">IFERROR(__xludf.DUMMYFUNCTION("""COMPUTED_VALUE"""),43606.6666666666)</f>
        <v>43606.666666666599</v>
      </c>
      <c r="B2183" s="4">
        <f ca="1">IFERROR(__xludf.DUMMYFUNCTION("""COMPUTED_VALUE"""),1149.63)</f>
        <v>1149.6300000000001</v>
      </c>
      <c r="C2183" s="5">
        <f t="shared" ca="1" si="0"/>
        <v>9.4211701518508353E-3</v>
      </c>
    </row>
    <row r="2184" spans="1:3" ht="13" x14ac:dyDescent="0.15">
      <c r="A2184" s="3">
        <f ca="1">IFERROR(__xludf.DUMMYFUNCTION("""COMPUTED_VALUE"""),43607.6666666666)</f>
        <v>43607.666666666599</v>
      </c>
      <c r="B2184" s="4">
        <f ca="1">IFERROR(__xludf.DUMMYFUNCTION("""COMPUTED_VALUE"""),1151.42)</f>
        <v>1151.42</v>
      </c>
      <c r="C2184" s="5">
        <f t="shared" ca="1" si="0"/>
        <v>1.5558117911955863E-3</v>
      </c>
    </row>
    <row r="2185" spans="1:3" ht="13" x14ac:dyDescent="0.15">
      <c r="A2185" s="3">
        <f ca="1">IFERROR(__xludf.DUMMYFUNCTION("""COMPUTED_VALUE"""),43608.6666666666)</f>
        <v>43608.666666666599</v>
      </c>
      <c r="B2185" s="4">
        <f ca="1">IFERROR(__xludf.DUMMYFUNCTION("""COMPUTED_VALUE"""),1140.77)</f>
        <v>1140.77</v>
      </c>
      <c r="C2185" s="5">
        <f t="shared" ca="1" si="0"/>
        <v>-9.2924902698711155E-3</v>
      </c>
    </row>
    <row r="2186" spans="1:3" ht="13" x14ac:dyDescent="0.15">
      <c r="A2186" s="3">
        <f ca="1">IFERROR(__xludf.DUMMYFUNCTION("""COMPUTED_VALUE"""),43609.6666666666)</f>
        <v>43609.666666666599</v>
      </c>
      <c r="B2186" s="4">
        <f ca="1">IFERROR(__xludf.DUMMYFUNCTION("""COMPUTED_VALUE"""),1133.47)</f>
        <v>1133.47</v>
      </c>
      <c r="C2186" s="5">
        <f t="shared" ca="1" si="0"/>
        <v>-6.4197490777867534E-3</v>
      </c>
    </row>
    <row r="2187" spans="1:3" ht="13" x14ac:dyDescent="0.15">
      <c r="A2187" s="3">
        <f ca="1">IFERROR(__xludf.DUMMYFUNCTION("""COMPUTED_VALUE"""),43613.6666666666)</f>
        <v>43613.666666666599</v>
      </c>
      <c r="B2187" s="4">
        <f ca="1">IFERROR(__xludf.DUMMYFUNCTION("""COMPUTED_VALUE"""),1134.15)</f>
        <v>1134.1500000000001</v>
      </c>
      <c r="C2187" s="5">
        <f t="shared" ca="1" si="0"/>
        <v>5.9974777112815447E-4</v>
      </c>
    </row>
    <row r="2188" spans="1:3" ht="13" x14ac:dyDescent="0.15">
      <c r="A2188" s="3">
        <f ca="1">IFERROR(__xludf.DUMMYFUNCTION("""COMPUTED_VALUE"""),43614.6666666666)</f>
        <v>43614.666666666599</v>
      </c>
      <c r="B2188" s="4">
        <f ca="1">IFERROR(__xludf.DUMMYFUNCTION("""COMPUTED_VALUE"""),1116.46)</f>
        <v>1116.46</v>
      </c>
      <c r="C2188" s="5">
        <f t="shared" ca="1" si="0"/>
        <v>-1.5720506276674068E-2</v>
      </c>
    </row>
    <row r="2189" spans="1:3" ht="13" x14ac:dyDescent="0.15">
      <c r="A2189" s="3">
        <f ca="1">IFERROR(__xludf.DUMMYFUNCTION("""COMPUTED_VALUE"""),43615.6666666666)</f>
        <v>43615.666666666599</v>
      </c>
      <c r="B2189" s="4">
        <f ca="1">IFERROR(__xludf.DUMMYFUNCTION("""COMPUTED_VALUE"""),1117.95)</f>
        <v>1117.95</v>
      </c>
      <c r="C2189" s="5">
        <f t="shared" ca="1" si="0"/>
        <v>1.333685600097885E-3</v>
      </c>
    </row>
    <row r="2190" spans="1:3" ht="13" x14ac:dyDescent="0.15">
      <c r="A2190" s="3">
        <f ca="1">IFERROR(__xludf.DUMMYFUNCTION("""COMPUTED_VALUE"""),43616.6666666666)</f>
        <v>43616.666666666599</v>
      </c>
      <c r="B2190" s="4">
        <f ca="1">IFERROR(__xludf.DUMMYFUNCTION("""COMPUTED_VALUE"""),1103.63)</f>
        <v>1103.6300000000001</v>
      </c>
      <c r="C2190" s="5">
        <f t="shared" ca="1" si="0"/>
        <v>-1.289190425992048E-2</v>
      </c>
    </row>
    <row r="2191" spans="1:3" ht="13" x14ac:dyDescent="0.15">
      <c r="A2191" s="3">
        <f ca="1">IFERROR(__xludf.DUMMYFUNCTION("""COMPUTED_VALUE"""),43619.6666666666)</f>
        <v>43619.666666666599</v>
      </c>
      <c r="B2191" s="4">
        <f ca="1">IFERROR(__xludf.DUMMYFUNCTION("""COMPUTED_VALUE"""),1036.23)</f>
        <v>1036.23</v>
      </c>
      <c r="C2191" s="5">
        <f t="shared" ca="1" si="0"/>
        <v>-6.3015619834523501E-2</v>
      </c>
    </row>
    <row r="2192" spans="1:3" ht="13" x14ac:dyDescent="0.15">
      <c r="A2192" s="3">
        <f ca="1">IFERROR(__xludf.DUMMYFUNCTION("""COMPUTED_VALUE"""),43620.6666666666)</f>
        <v>43620.666666666599</v>
      </c>
      <c r="B2192" s="4">
        <f ca="1">IFERROR(__xludf.DUMMYFUNCTION("""COMPUTED_VALUE"""),1053.05)</f>
        <v>1053.05</v>
      </c>
      <c r="C2192" s="5">
        <f t="shared" ca="1" si="0"/>
        <v>1.6101588486123627E-2</v>
      </c>
    </row>
    <row r="2193" spans="1:3" ht="13" x14ac:dyDescent="0.15">
      <c r="A2193" s="3">
        <f ca="1">IFERROR(__xludf.DUMMYFUNCTION("""COMPUTED_VALUE"""),43621.6666666666)</f>
        <v>43621.666666666599</v>
      </c>
      <c r="B2193" s="4">
        <f ca="1">IFERROR(__xludf.DUMMYFUNCTION("""COMPUTED_VALUE"""),1042.22)</f>
        <v>1042.22</v>
      </c>
      <c r="C2193" s="5">
        <f t="shared" ca="1" si="0"/>
        <v>-1.0337661921876306E-2</v>
      </c>
    </row>
    <row r="2194" spans="1:3" ht="13" x14ac:dyDescent="0.15">
      <c r="A2194" s="3">
        <f ca="1">IFERROR(__xludf.DUMMYFUNCTION("""COMPUTED_VALUE"""),43622.6666666666)</f>
        <v>43622.666666666599</v>
      </c>
      <c r="B2194" s="4">
        <f ca="1">IFERROR(__xludf.DUMMYFUNCTION("""COMPUTED_VALUE"""),1044.34)</f>
        <v>1044.3399999999999</v>
      </c>
      <c r="C2194" s="5">
        <f t="shared" ca="1" si="0"/>
        <v>2.0320534559265251E-3</v>
      </c>
    </row>
    <row r="2195" spans="1:3" ht="13" x14ac:dyDescent="0.15">
      <c r="A2195" s="3">
        <f ca="1">IFERROR(__xludf.DUMMYFUNCTION("""COMPUTED_VALUE"""),43623.6666666666)</f>
        <v>43623.666666666599</v>
      </c>
      <c r="B2195" s="4">
        <f ca="1">IFERROR(__xludf.DUMMYFUNCTION("""COMPUTED_VALUE"""),1066.04)</f>
        <v>1066.04</v>
      </c>
      <c r="C2195" s="5">
        <f t="shared" ca="1" si="0"/>
        <v>2.0565741552417856E-2</v>
      </c>
    </row>
    <row r="2196" spans="1:3" ht="13" x14ac:dyDescent="0.15">
      <c r="A2196" s="3">
        <f ca="1">IFERROR(__xludf.DUMMYFUNCTION("""COMPUTED_VALUE"""),43626.6666666666)</f>
        <v>43626.666666666599</v>
      </c>
      <c r="B2196" s="4">
        <f ca="1">IFERROR(__xludf.DUMMYFUNCTION("""COMPUTED_VALUE"""),1080.38)</f>
        <v>1080.3800000000001</v>
      </c>
      <c r="C2196" s="5">
        <f t="shared" ca="1" si="0"/>
        <v>1.3361982610810015E-2</v>
      </c>
    </row>
    <row r="2197" spans="1:3" ht="13" x14ac:dyDescent="0.15">
      <c r="A2197" s="3">
        <f ca="1">IFERROR(__xludf.DUMMYFUNCTION("""COMPUTED_VALUE"""),43627.6666666666)</f>
        <v>43627.666666666599</v>
      </c>
      <c r="B2197" s="4">
        <f ca="1">IFERROR(__xludf.DUMMYFUNCTION("""COMPUTED_VALUE"""),1078.72)</f>
        <v>1078.72</v>
      </c>
      <c r="C2197" s="5">
        <f t="shared" ca="1" si="0"/>
        <v>-1.5376780390744431E-3</v>
      </c>
    </row>
    <row r="2198" spans="1:3" ht="13" x14ac:dyDescent="0.15">
      <c r="A2198" s="3">
        <f ca="1">IFERROR(__xludf.DUMMYFUNCTION("""COMPUTED_VALUE"""),43628.6666666666)</f>
        <v>43628.666666666599</v>
      </c>
      <c r="B2198" s="4">
        <f ca="1">IFERROR(__xludf.DUMMYFUNCTION("""COMPUTED_VALUE"""),1077.03)</f>
        <v>1077.03</v>
      </c>
      <c r="C2198" s="5">
        <f t="shared" ca="1" si="0"/>
        <v>-1.5679001240516337E-3</v>
      </c>
    </row>
    <row r="2199" spans="1:3" ht="13" x14ac:dyDescent="0.15">
      <c r="A2199" s="3">
        <f ca="1">IFERROR(__xludf.DUMMYFUNCTION("""COMPUTED_VALUE"""),43629.6666666666)</f>
        <v>43629.666666666599</v>
      </c>
      <c r="B2199" s="4">
        <f ca="1">IFERROR(__xludf.DUMMYFUNCTION("""COMPUTED_VALUE"""),1088.77)</f>
        <v>1088.77</v>
      </c>
      <c r="C2199" s="5">
        <f t="shared" ca="1" si="0"/>
        <v>1.0841365766358994E-2</v>
      </c>
    </row>
    <row r="2200" spans="1:3" ht="13" x14ac:dyDescent="0.15">
      <c r="A2200" s="3">
        <f ca="1">IFERROR(__xludf.DUMMYFUNCTION("""COMPUTED_VALUE"""),43630.6666666666)</f>
        <v>43630.666666666599</v>
      </c>
      <c r="B2200" s="4">
        <f ca="1">IFERROR(__xludf.DUMMYFUNCTION("""COMPUTED_VALUE"""),1085.35)</f>
        <v>1085.3499999999999</v>
      </c>
      <c r="C2200" s="5">
        <f t="shared" ca="1" si="0"/>
        <v>-3.1461030862321927E-3</v>
      </c>
    </row>
    <row r="2201" spans="1:3" ht="13" x14ac:dyDescent="0.15">
      <c r="A2201" s="3">
        <f ca="1">IFERROR(__xludf.DUMMYFUNCTION("""COMPUTED_VALUE"""),43633.6666666666)</f>
        <v>43633.666666666599</v>
      </c>
      <c r="B2201" s="4">
        <f ca="1">IFERROR(__xludf.DUMMYFUNCTION("""COMPUTED_VALUE"""),1092.5)</f>
        <v>1092.5</v>
      </c>
      <c r="C2201" s="5">
        <f t="shared" ca="1" si="0"/>
        <v>6.5661323679740979E-3</v>
      </c>
    </row>
    <row r="2202" spans="1:3" ht="13" x14ac:dyDescent="0.15">
      <c r="A2202" s="3">
        <f ca="1">IFERROR(__xludf.DUMMYFUNCTION("""COMPUTED_VALUE"""),43634.6666666666)</f>
        <v>43634.666666666599</v>
      </c>
      <c r="B2202" s="4">
        <f ca="1">IFERROR(__xludf.DUMMYFUNCTION("""COMPUTED_VALUE"""),1103.6)</f>
        <v>1103.5999999999999</v>
      </c>
      <c r="C2202" s="5">
        <f t="shared" ca="1" si="0"/>
        <v>1.0108915373385818E-2</v>
      </c>
    </row>
    <row r="2203" spans="1:3" ht="13" x14ac:dyDescent="0.15">
      <c r="A2203" s="3">
        <f ca="1">IFERROR(__xludf.DUMMYFUNCTION("""COMPUTED_VALUE"""),43635.6666666666)</f>
        <v>43635.666666666599</v>
      </c>
      <c r="B2203" s="4">
        <f ca="1">IFERROR(__xludf.DUMMYFUNCTION("""COMPUTED_VALUE"""),1102.33)</f>
        <v>1102.33</v>
      </c>
      <c r="C2203" s="5">
        <f t="shared" ca="1" si="0"/>
        <v>-1.1514419227407898E-3</v>
      </c>
    </row>
    <row r="2204" spans="1:3" ht="13" x14ac:dyDescent="0.15">
      <c r="A2204" s="3">
        <f ca="1">IFERROR(__xludf.DUMMYFUNCTION("""COMPUTED_VALUE"""),43636.6666666666)</f>
        <v>43636.666666666599</v>
      </c>
      <c r="B2204" s="4">
        <f ca="1">IFERROR(__xludf.DUMMYFUNCTION("""COMPUTED_VALUE"""),1111.42)</f>
        <v>1111.42</v>
      </c>
      <c r="C2204" s="5">
        <f t="shared" ca="1" si="0"/>
        <v>8.2123555847334259E-3</v>
      </c>
    </row>
    <row r="2205" spans="1:3" ht="13" x14ac:dyDescent="0.15">
      <c r="A2205" s="3">
        <f ca="1">IFERROR(__xludf.DUMMYFUNCTION("""COMPUTED_VALUE"""),43637.6666666666)</f>
        <v>43637.666666666599</v>
      </c>
      <c r="B2205" s="4">
        <f ca="1">IFERROR(__xludf.DUMMYFUNCTION("""COMPUTED_VALUE"""),1121.88)</f>
        <v>1121.8800000000001</v>
      </c>
      <c r="C2205" s="5">
        <f t="shared" ca="1" si="0"/>
        <v>9.3673724861010558E-3</v>
      </c>
    </row>
    <row r="2206" spans="1:3" ht="13" x14ac:dyDescent="0.15">
      <c r="A2206" s="3">
        <f ca="1">IFERROR(__xludf.DUMMYFUNCTION("""COMPUTED_VALUE"""),43640.6666666666)</f>
        <v>43640.666666666599</v>
      </c>
      <c r="B2206" s="4">
        <f ca="1">IFERROR(__xludf.DUMMYFUNCTION("""COMPUTED_VALUE"""),1115.52)</f>
        <v>1115.52</v>
      </c>
      <c r="C2206" s="5">
        <f t="shared" ca="1" si="0"/>
        <v>-5.6851855996232943E-3</v>
      </c>
    </row>
    <row r="2207" spans="1:3" ht="13" x14ac:dyDescent="0.15">
      <c r="A2207" s="3">
        <f ca="1">IFERROR(__xludf.DUMMYFUNCTION("""COMPUTED_VALUE"""),43641.6666666666)</f>
        <v>43641.666666666599</v>
      </c>
      <c r="B2207" s="4">
        <f ca="1">IFERROR(__xludf.DUMMYFUNCTION("""COMPUTED_VALUE"""),1086.35)</f>
        <v>1086.3499999999999</v>
      </c>
      <c r="C2207" s="5">
        <f t="shared" ca="1" si="0"/>
        <v>-2.6497210710351361E-2</v>
      </c>
    </row>
    <row r="2208" spans="1:3" ht="13" x14ac:dyDescent="0.15">
      <c r="A2208" s="3">
        <f ca="1">IFERROR(__xludf.DUMMYFUNCTION("""COMPUTED_VALUE"""),43642.6666666666)</f>
        <v>43642.666666666599</v>
      </c>
      <c r="B2208" s="4">
        <f ca="1">IFERROR(__xludf.DUMMYFUNCTION("""COMPUTED_VALUE"""),1079.8)</f>
        <v>1079.8</v>
      </c>
      <c r="C2208" s="5">
        <f t="shared" ca="1" si="0"/>
        <v>-6.0476143970635146E-3</v>
      </c>
    </row>
    <row r="2209" spans="1:3" ht="13" x14ac:dyDescent="0.15">
      <c r="A2209" s="3">
        <f ca="1">IFERROR(__xludf.DUMMYFUNCTION("""COMPUTED_VALUE"""),43643.6666666666)</f>
        <v>43643.666666666599</v>
      </c>
      <c r="B2209" s="4">
        <f ca="1">IFERROR(__xludf.DUMMYFUNCTION("""COMPUTED_VALUE"""),1076.01)</f>
        <v>1076.01</v>
      </c>
      <c r="C2209" s="5">
        <f t="shared" ca="1" si="0"/>
        <v>-3.5160834253454699E-3</v>
      </c>
    </row>
    <row r="2210" spans="1:3" ht="13" x14ac:dyDescent="0.15">
      <c r="A2210" s="3">
        <f ca="1">IFERROR(__xludf.DUMMYFUNCTION("""COMPUTED_VALUE"""),43644.6666666666)</f>
        <v>43644.666666666599</v>
      </c>
      <c r="B2210" s="4">
        <f ca="1">IFERROR(__xludf.DUMMYFUNCTION("""COMPUTED_VALUE"""),1080.91)</f>
        <v>1080.9100000000001</v>
      </c>
      <c r="C2210" s="5">
        <f t="shared" ca="1" si="0"/>
        <v>4.5435235701553542E-3</v>
      </c>
    </row>
    <row r="2211" spans="1:3" ht="13" x14ac:dyDescent="0.15">
      <c r="A2211" s="3">
        <f ca="1">IFERROR(__xludf.DUMMYFUNCTION("""COMPUTED_VALUE"""),43647.6666666666)</f>
        <v>43647.666666666599</v>
      </c>
      <c r="B2211" s="4">
        <f ca="1">IFERROR(__xludf.DUMMYFUNCTION("""COMPUTED_VALUE"""),1097.95)</f>
        <v>1097.95</v>
      </c>
      <c r="C2211" s="5">
        <f t="shared" ca="1" si="0"/>
        <v>1.564152576300391E-2</v>
      </c>
    </row>
    <row r="2212" spans="1:3" ht="13" x14ac:dyDescent="0.15">
      <c r="A2212" s="3">
        <f ca="1">IFERROR(__xludf.DUMMYFUNCTION("""COMPUTED_VALUE"""),43648.6666666666)</f>
        <v>43648.666666666599</v>
      </c>
      <c r="B2212" s="4">
        <f ca="1">IFERROR(__xludf.DUMMYFUNCTION("""COMPUTED_VALUE"""),1111.25)</f>
        <v>1111.25</v>
      </c>
      <c r="C2212" s="5">
        <f t="shared" ca="1" si="0"/>
        <v>1.2040703136113726E-2</v>
      </c>
    </row>
    <row r="2213" spans="1:3" ht="13" x14ac:dyDescent="0.15">
      <c r="A2213" s="3">
        <f ca="1">IFERROR(__xludf.DUMMYFUNCTION("""COMPUTED_VALUE"""),43649.5416666666)</f>
        <v>43649.541666666599</v>
      </c>
      <c r="B2213" s="4">
        <f ca="1">IFERROR(__xludf.DUMMYFUNCTION("""COMPUTED_VALUE"""),1121.58)</f>
        <v>1121.58</v>
      </c>
      <c r="C2213" s="5">
        <f t="shared" ca="1" si="0"/>
        <v>9.2528976241809894E-3</v>
      </c>
    </row>
    <row r="2214" spans="1:3" ht="13" x14ac:dyDescent="0.15">
      <c r="A2214" s="3">
        <f ca="1">IFERROR(__xludf.DUMMYFUNCTION("""COMPUTED_VALUE"""),43651.6666666666)</f>
        <v>43651.666666666599</v>
      </c>
      <c r="B2214" s="4">
        <f ca="1">IFERROR(__xludf.DUMMYFUNCTION("""COMPUTED_VALUE"""),1131.59)</f>
        <v>1131.5899999999999</v>
      </c>
      <c r="C2214" s="5">
        <f t="shared" ca="1" si="0"/>
        <v>8.8853178911775972E-3</v>
      </c>
    </row>
    <row r="2215" spans="1:3" ht="13" x14ac:dyDescent="0.15">
      <c r="A2215" s="3">
        <f ca="1">IFERROR(__xludf.DUMMYFUNCTION("""COMPUTED_VALUE"""),43654.6666666666)</f>
        <v>43654.666666666599</v>
      </c>
      <c r="B2215" s="4">
        <f ca="1">IFERROR(__xludf.DUMMYFUNCTION("""COMPUTED_VALUE"""),1116.35)</f>
        <v>1116.3499999999999</v>
      </c>
      <c r="C2215" s="5">
        <f t="shared" ca="1" si="0"/>
        <v>-1.3559288499027039E-2</v>
      </c>
    </row>
    <row r="2216" spans="1:3" ht="13" x14ac:dyDescent="0.15">
      <c r="A2216" s="3">
        <f ca="1">IFERROR(__xludf.DUMMYFUNCTION("""COMPUTED_VALUE"""),43655.6666666666)</f>
        <v>43655.666666666599</v>
      </c>
      <c r="B2216" s="4">
        <f ca="1">IFERROR(__xludf.DUMMYFUNCTION("""COMPUTED_VALUE"""),1124.83)</f>
        <v>1124.83</v>
      </c>
      <c r="C2216" s="5">
        <f t="shared" ca="1" si="0"/>
        <v>7.5674782645290288E-3</v>
      </c>
    </row>
    <row r="2217" spans="1:3" ht="13" x14ac:dyDescent="0.15">
      <c r="A2217" s="3">
        <f ca="1">IFERROR(__xludf.DUMMYFUNCTION("""COMPUTED_VALUE"""),43656.6666666666)</f>
        <v>43656.666666666599</v>
      </c>
      <c r="B2217" s="4">
        <f ca="1">IFERROR(__xludf.DUMMYFUNCTION("""COMPUTED_VALUE"""),1140.48)</f>
        <v>1140.48</v>
      </c>
      <c r="C2217" s="5">
        <f t="shared" ca="1" si="0"/>
        <v>1.3817313293360011E-2</v>
      </c>
    </row>
    <row r="2218" spans="1:3" ht="13" x14ac:dyDescent="0.15">
      <c r="A2218" s="3">
        <f ca="1">IFERROR(__xludf.DUMMYFUNCTION("""COMPUTED_VALUE"""),43657.6666666666)</f>
        <v>43657.666666666599</v>
      </c>
      <c r="B2218" s="4">
        <f ca="1">IFERROR(__xludf.DUMMYFUNCTION("""COMPUTED_VALUE"""),1144.21)</f>
        <v>1144.21</v>
      </c>
      <c r="C2218" s="5">
        <f t="shared" ca="1" si="0"/>
        <v>3.2652161247183602E-3</v>
      </c>
    </row>
    <row r="2219" spans="1:3" ht="13" x14ac:dyDescent="0.15">
      <c r="A2219" s="3">
        <f ca="1">IFERROR(__xludf.DUMMYFUNCTION("""COMPUTED_VALUE"""),43658.6666666666)</f>
        <v>43658.666666666599</v>
      </c>
      <c r="B2219" s="4">
        <f ca="1">IFERROR(__xludf.DUMMYFUNCTION("""COMPUTED_VALUE"""),1144.9)</f>
        <v>1144.9000000000001</v>
      </c>
      <c r="C2219" s="5">
        <f t="shared" ca="1" si="0"/>
        <v>6.0285440271318485E-4</v>
      </c>
    </row>
    <row r="2220" spans="1:3" ht="13" x14ac:dyDescent="0.15">
      <c r="A2220" s="3">
        <f ca="1">IFERROR(__xludf.DUMMYFUNCTION("""COMPUTED_VALUE"""),43661.6666666666)</f>
        <v>43661.666666666599</v>
      </c>
      <c r="B2220" s="4">
        <f ca="1">IFERROR(__xludf.DUMMYFUNCTION("""COMPUTED_VALUE"""),1150.34)</f>
        <v>1150.3399999999999</v>
      </c>
      <c r="C2220" s="5">
        <f t="shared" ca="1" si="0"/>
        <v>4.7402539049503367E-3</v>
      </c>
    </row>
    <row r="2221" spans="1:3" ht="13" x14ac:dyDescent="0.15">
      <c r="A2221" s="3">
        <f ca="1">IFERROR(__xludf.DUMMYFUNCTION("""COMPUTED_VALUE"""),43662.6666666666)</f>
        <v>43662.666666666599</v>
      </c>
      <c r="B2221" s="4">
        <f ca="1">IFERROR(__xludf.DUMMYFUNCTION("""COMPUTED_VALUE"""),1153.58)</f>
        <v>1153.58</v>
      </c>
      <c r="C2221" s="5">
        <f t="shared" ca="1" si="0"/>
        <v>2.8125995137790781E-3</v>
      </c>
    </row>
    <row r="2222" spans="1:3" ht="13" x14ac:dyDescent="0.15">
      <c r="A2222" s="3">
        <f ca="1">IFERROR(__xludf.DUMMYFUNCTION("""COMPUTED_VALUE"""),43663.6666666666)</f>
        <v>43663.666666666599</v>
      </c>
      <c r="B2222" s="4">
        <f ca="1">IFERROR(__xludf.DUMMYFUNCTION("""COMPUTED_VALUE"""),1146.35)</f>
        <v>1146.3499999999999</v>
      </c>
      <c r="C2222" s="5">
        <f t="shared" ca="1" si="0"/>
        <v>-6.2871685798253328E-3</v>
      </c>
    </row>
    <row r="2223" spans="1:3" ht="13" x14ac:dyDescent="0.15">
      <c r="A2223" s="3">
        <f ca="1">IFERROR(__xludf.DUMMYFUNCTION("""COMPUTED_VALUE"""),43664.6666666666)</f>
        <v>43664.666666666599</v>
      </c>
      <c r="B2223" s="4">
        <f ca="1">IFERROR(__xludf.DUMMYFUNCTION("""COMPUTED_VALUE"""),1146.33)</f>
        <v>1146.33</v>
      </c>
      <c r="C2223" s="5">
        <f t="shared" ca="1" si="0"/>
        <v>-1.7446830783562332E-5</v>
      </c>
    </row>
    <row r="2224" spans="1:3" ht="13" x14ac:dyDescent="0.15">
      <c r="A2224" s="3">
        <f ca="1">IFERROR(__xludf.DUMMYFUNCTION("""COMPUTED_VALUE"""),43665.6666666666)</f>
        <v>43665.666666666599</v>
      </c>
      <c r="B2224" s="4">
        <f ca="1">IFERROR(__xludf.DUMMYFUNCTION("""COMPUTED_VALUE"""),1130.1)</f>
        <v>1130.0999999999999</v>
      </c>
      <c r="C2224" s="5">
        <f t="shared" ca="1" si="0"/>
        <v>-1.4259410571782415E-2</v>
      </c>
    </row>
    <row r="2225" spans="1:3" ht="13" x14ac:dyDescent="0.15">
      <c r="A2225" s="3">
        <f ca="1">IFERROR(__xludf.DUMMYFUNCTION("""COMPUTED_VALUE"""),43668.6666666666)</f>
        <v>43668.666666666599</v>
      </c>
      <c r="B2225" s="4">
        <f ca="1">IFERROR(__xludf.DUMMYFUNCTION("""COMPUTED_VALUE"""),1138.07)</f>
        <v>1138.07</v>
      </c>
      <c r="C2225" s="5">
        <f t="shared" ca="1" si="0"/>
        <v>7.0277208519711788E-3</v>
      </c>
    </row>
    <row r="2226" spans="1:3" ht="13" x14ac:dyDescent="0.15">
      <c r="A2226" s="3">
        <f ca="1">IFERROR(__xludf.DUMMYFUNCTION("""COMPUTED_VALUE"""),43669.6666666666)</f>
        <v>43669.666666666599</v>
      </c>
      <c r="B2226" s="4">
        <f ca="1">IFERROR(__xludf.DUMMYFUNCTION("""COMPUTED_VALUE"""),1146.21)</f>
        <v>1146.21</v>
      </c>
      <c r="C2226" s="5">
        <f t="shared" ca="1" si="0"/>
        <v>7.1270023423962072E-3</v>
      </c>
    </row>
    <row r="2227" spans="1:3" ht="13" x14ac:dyDescent="0.15">
      <c r="A2227" s="3">
        <f ca="1">IFERROR(__xludf.DUMMYFUNCTION("""COMPUTED_VALUE"""),43670.6666666666)</f>
        <v>43670.666666666599</v>
      </c>
      <c r="B2227" s="4">
        <f ca="1">IFERROR(__xludf.DUMMYFUNCTION("""COMPUTED_VALUE"""),1137.81)</f>
        <v>1137.81</v>
      </c>
      <c r="C2227" s="5">
        <f t="shared" ca="1" si="0"/>
        <v>-7.355485391705603E-3</v>
      </c>
    </row>
    <row r="2228" spans="1:3" ht="13" x14ac:dyDescent="0.15">
      <c r="A2228" s="3">
        <f ca="1">IFERROR(__xludf.DUMMYFUNCTION("""COMPUTED_VALUE"""),43671.6666666666)</f>
        <v>43671.666666666599</v>
      </c>
      <c r="B2228" s="4">
        <f ca="1">IFERROR(__xludf.DUMMYFUNCTION("""COMPUTED_VALUE"""),1132.12)</f>
        <v>1132.1199999999999</v>
      </c>
      <c r="C2228" s="5">
        <f t="shared" ca="1" si="0"/>
        <v>-5.0133809568530027E-3</v>
      </c>
    </row>
    <row r="2229" spans="1:3" ht="13" x14ac:dyDescent="0.15">
      <c r="A2229" s="3">
        <f ca="1">IFERROR(__xludf.DUMMYFUNCTION("""COMPUTED_VALUE"""),43672.6666666666)</f>
        <v>43672.666666666599</v>
      </c>
      <c r="B2229" s="4">
        <f ca="1">IFERROR(__xludf.DUMMYFUNCTION("""COMPUTED_VALUE"""),1250.41)</f>
        <v>1250.4100000000001</v>
      </c>
      <c r="C2229" s="5">
        <f t="shared" ca="1" si="0"/>
        <v>9.9379516304192686E-2</v>
      </c>
    </row>
    <row r="2230" spans="1:3" ht="13" x14ac:dyDescent="0.15">
      <c r="A2230" s="3">
        <f ca="1">IFERROR(__xludf.DUMMYFUNCTION("""COMPUTED_VALUE"""),43675.6666666666)</f>
        <v>43675.666666666599</v>
      </c>
      <c r="B2230" s="4">
        <f ca="1">IFERROR(__xludf.DUMMYFUNCTION("""COMPUTED_VALUE"""),1239.41)</f>
        <v>1239.4100000000001</v>
      </c>
      <c r="C2230" s="5">
        <f t="shared" ca="1" si="0"/>
        <v>-8.8360376004454847E-3</v>
      </c>
    </row>
    <row r="2231" spans="1:3" ht="13" x14ac:dyDescent="0.15">
      <c r="A2231" s="3">
        <f ca="1">IFERROR(__xludf.DUMMYFUNCTION("""COMPUTED_VALUE"""),43676.6666666666)</f>
        <v>43676.666666666599</v>
      </c>
      <c r="B2231" s="4">
        <f ca="1">IFERROR(__xludf.DUMMYFUNCTION("""COMPUTED_VALUE"""),1225.14)</f>
        <v>1225.1400000000001</v>
      </c>
      <c r="C2231" s="5">
        <f t="shared" ca="1" si="0"/>
        <v>-1.1580336752662554E-2</v>
      </c>
    </row>
    <row r="2232" spans="1:3" ht="13" x14ac:dyDescent="0.15">
      <c r="A2232" s="3">
        <f ca="1">IFERROR(__xludf.DUMMYFUNCTION("""COMPUTED_VALUE"""),43677.6666666666)</f>
        <v>43677.666666666599</v>
      </c>
      <c r="B2232" s="4">
        <f ca="1">IFERROR(__xludf.DUMMYFUNCTION("""COMPUTED_VALUE"""),1216.68)</f>
        <v>1216.68</v>
      </c>
      <c r="C2232" s="5">
        <f t="shared" ca="1" si="0"/>
        <v>-6.9292854105096119E-3</v>
      </c>
    </row>
    <row r="2233" spans="1:3" ht="13" x14ac:dyDescent="0.15">
      <c r="A2233" s="3">
        <f ca="1">IFERROR(__xludf.DUMMYFUNCTION("""COMPUTED_VALUE"""),43678.6666666666)</f>
        <v>43678.666666666599</v>
      </c>
      <c r="B2233" s="4">
        <f ca="1">IFERROR(__xludf.DUMMYFUNCTION("""COMPUTED_VALUE"""),1209.01)</f>
        <v>1209.01</v>
      </c>
      <c r="C2233" s="5">
        <f t="shared" ca="1" si="0"/>
        <v>-6.3239948733092013E-3</v>
      </c>
    </row>
    <row r="2234" spans="1:3" ht="13" x14ac:dyDescent="0.15">
      <c r="A2234" s="3">
        <f ca="1">IFERROR(__xludf.DUMMYFUNCTION("""COMPUTED_VALUE"""),43679.6666666666)</f>
        <v>43679.666666666599</v>
      </c>
      <c r="B2234" s="4">
        <f ca="1">IFERROR(__xludf.DUMMYFUNCTION("""COMPUTED_VALUE"""),1193.99)</f>
        <v>1193.99</v>
      </c>
      <c r="C2234" s="5">
        <f t="shared" ca="1" si="0"/>
        <v>-1.2501203171084647E-2</v>
      </c>
    </row>
    <row r="2235" spans="1:3" ht="13" x14ac:dyDescent="0.15">
      <c r="A2235" s="3">
        <f ca="1">IFERROR(__xludf.DUMMYFUNCTION("""COMPUTED_VALUE"""),43682.6666666666)</f>
        <v>43682.666666666599</v>
      </c>
      <c r="B2235" s="4">
        <f ca="1">IFERROR(__xludf.DUMMYFUNCTION("""COMPUTED_VALUE"""),1152.32)</f>
        <v>1152.32</v>
      </c>
      <c r="C2235" s="5">
        <f t="shared" ca="1" si="0"/>
        <v>-3.5523338247584593E-2</v>
      </c>
    </row>
    <row r="2236" spans="1:3" ht="13" x14ac:dyDescent="0.15">
      <c r="A2236" s="3">
        <f ca="1">IFERROR(__xludf.DUMMYFUNCTION("""COMPUTED_VALUE"""),43683.6666666666)</f>
        <v>43683.666666666599</v>
      </c>
      <c r="B2236" s="4">
        <f ca="1">IFERROR(__xludf.DUMMYFUNCTION("""COMPUTED_VALUE"""),1169.95)</f>
        <v>1169.95</v>
      </c>
      <c r="C2236" s="5">
        <f t="shared" ca="1" si="0"/>
        <v>1.518371137538852E-2</v>
      </c>
    </row>
    <row r="2237" spans="1:3" ht="13" x14ac:dyDescent="0.15">
      <c r="A2237" s="3">
        <f ca="1">IFERROR(__xludf.DUMMYFUNCTION("""COMPUTED_VALUE"""),43684.6666666666)</f>
        <v>43684.666666666599</v>
      </c>
      <c r="B2237" s="4">
        <f ca="1">IFERROR(__xludf.DUMMYFUNCTION("""COMPUTED_VALUE"""),1173.99)</f>
        <v>1173.99</v>
      </c>
      <c r="C2237" s="5">
        <f t="shared" ca="1" si="0"/>
        <v>3.4471906283017198E-3</v>
      </c>
    </row>
    <row r="2238" spans="1:3" ht="13" x14ac:dyDescent="0.15">
      <c r="A2238" s="3">
        <f ca="1">IFERROR(__xludf.DUMMYFUNCTION("""COMPUTED_VALUE"""),43685.6666666666)</f>
        <v>43685.666666666599</v>
      </c>
      <c r="B2238" s="4">
        <f ca="1">IFERROR(__xludf.DUMMYFUNCTION("""COMPUTED_VALUE"""),1204.8)</f>
        <v>1204.8</v>
      </c>
      <c r="C2238" s="5">
        <f t="shared" ca="1" si="0"/>
        <v>2.5905374581428588E-2</v>
      </c>
    </row>
    <row r="2239" spans="1:3" ht="13" x14ac:dyDescent="0.15">
      <c r="A2239" s="3">
        <f ca="1">IFERROR(__xludf.DUMMYFUNCTION("""COMPUTED_VALUE"""),43686.6666666666)</f>
        <v>43686.666666666599</v>
      </c>
      <c r="B2239" s="4">
        <f ca="1">IFERROR(__xludf.DUMMYFUNCTION("""COMPUTED_VALUE"""),1188.01)</f>
        <v>1188.01</v>
      </c>
      <c r="C2239" s="5">
        <f t="shared" ca="1" si="0"/>
        <v>-1.4033939650048347E-2</v>
      </c>
    </row>
    <row r="2240" spans="1:3" ht="13" x14ac:dyDescent="0.15">
      <c r="A2240" s="3">
        <f ca="1">IFERROR(__xludf.DUMMYFUNCTION("""COMPUTED_VALUE"""),43689.6666666666)</f>
        <v>43689.666666666599</v>
      </c>
      <c r="B2240" s="4">
        <f ca="1">IFERROR(__xludf.DUMMYFUNCTION("""COMPUTED_VALUE"""),1174.71)</f>
        <v>1174.71</v>
      </c>
      <c r="C2240" s="5">
        <f t="shared" ca="1" si="0"/>
        <v>-1.1258329790192397E-2</v>
      </c>
    </row>
    <row r="2241" spans="1:3" ht="13" x14ac:dyDescent="0.15">
      <c r="A2241" s="3">
        <f ca="1">IFERROR(__xludf.DUMMYFUNCTION("""COMPUTED_VALUE"""),43690.6666666666)</f>
        <v>43690.666666666599</v>
      </c>
      <c r="B2241" s="4">
        <f ca="1">IFERROR(__xludf.DUMMYFUNCTION("""COMPUTED_VALUE"""),1197.27)</f>
        <v>1197.27</v>
      </c>
      <c r="C2241" s="5">
        <f t="shared" ca="1" si="0"/>
        <v>1.9022656426645461E-2</v>
      </c>
    </row>
    <row r="2242" spans="1:3" ht="13" x14ac:dyDescent="0.15">
      <c r="A2242" s="3">
        <f ca="1">IFERROR(__xludf.DUMMYFUNCTION("""COMPUTED_VALUE"""),43691.6666666666)</f>
        <v>43691.666666666599</v>
      </c>
      <c r="B2242" s="4">
        <f ca="1">IFERROR(__xludf.DUMMYFUNCTION("""COMPUTED_VALUE"""),1164.29)</f>
        <v>1164.29</v>
      </c>
      <c r="C2242" s="5">
        <f t="shared" ca="1" si="0"/>
        <v>-2.7932505877618381E-2</v>
      </c>
    </row>
    <row r="2243" spans="1:3" ht="13" x14ac:dyDescent="0.15">
      <c r="A2243" s="3">
        <f ca="1">IFERROR(__xludf.DUMMYFUNCTION("""COMPUTED_VALUE"""),43692.6666666666)</f>
        <v>43692.666666666599</v>
      </c>
      <c r="B2243" s="4">
        <f ca="1">IFERROR(__xludf.DUMMYFUNCTION("""COMPUTED_VALUE"""),1167.26)</f>
        <v>1167.26</v>
      </c>
      <c r="C2243" s="5">
        <f t="shared" ca="1" si="0"/>
        <v>2.5476628049321305E-3</v>
      </c>
    </row>
    <row r="2244" spans="1:3" ht="13" x14ac:dyDescent="0.15">
      <c r="A2244" s="3">
        <f ca="1">IFERROR(__xludf.DUMMYFUNCTION("""COMPUTED_VALUE"""),43693.6666666666)</f>
        <v>43693.666666666599</v>
      </c>
      <c r="B2244" s="4">
        <f ca="1">IFERROR(__xludf.DUMMYFUNCTION("""COMPUTED_VALUE"""),1177.6)</f>
        <v>1177.5999999999999</v>
      </c>
      <c r="C2244" s="5">
        <f t="shared" ca="1" si="0"/>
        <v>8.8193470152641562E-3</v>
      </c>
    </row>
    <row r="2245" spans="1:3" ht="13" x14ac:dyDescent="0.15">
      <c r="A2245" s="3">
        <f ca="1">IFERROR(__xludf.DUMMYFUNCTION("""COMPUTED_VALUE"""),43696.6666666666)</f>
        <v>43696.666666666599</v>
      </c>
      <c r="B2245" s="4">
        <f ca="1">IFERROR(__xludf.DUMMYFUNCTION("""COMPUTED_VALUE"""),1198.45)</f>
        <v>1198.45</v>
      </c>
      <c r="C2245" s="5">
        <f t="shared" ca="1" si="0"/>
        <v>1.7550586214387681E-2</v>
      </c>
    </row>
    <row r="2246" spans="1:3" ht="13" x14ac:dyDescent="0.15">
      <c r="A2246" s="3">
        <f ca="1">IFERROR(__xludf.DUMMYFUNCTION("""COMPUTED_VALUE"""),43697.6666666666)</f>
        <v>43697.666666666599</v>
      </c>
      <c r="B2246" s="4">
        <f ca="1">IFERROR(__xludf.DUMMYFUNCTION("""COMPUTED_VALUE"""),1182.69)</f>
        <v>1182.69</v>
      </c>
      <c r="C2246" s="5">
        <f t="shared" ca="1" si="0"/>
        <v>-1.3237550197233305E-2</v>
      </c>
    </row>
    <row r="2247" spans="1:3" ht="13" x14ac:dyDescent="0.15">
      <c r="A2247" s="3">
        <f ca="1">IFERROR(__xludf.DUMMYFUNCTION("""COMPUTED_VALUE"""),43698.6666666666)</f>
        <v>43698.666666666599</v>
      </c>
      <c r="B2247" s="4">
        <f ca="1">IFERROR(__xludf.DUMMYFUNCTION("""COMPUTED_VALUE"""),1191.25)</f>
        <v>1191.25</v>
      </c>
      <c r="C2247" s="5">
        <f t="shared" ca="1" si="0"/>
        <v>7.2116709766458743E-3</v>
      </c>
    </row>
    <row r="2248" spans="1:3" ht="13" x14ac:dyDescent="0.15">
      <c r="A2248" s="3">
        <f ca="1">IFERROR(__xludf.DUMMYFUNCTION("""COMPUTED_VALUE"""),43699.6666666666)</f>
        <v>43699.666666666599</v>
      </c>
      <c r="B2248" s="4">
        <f ca="1">IFERROR(__xludf.DUMMYFUNCTION("""COMPUTED_VALUE"""),1189.53)</f>
        <v>1189.53</v>
      </c>
      <c r="C2248" s="5">
        <f t="shared" ca="1" si="0"/>
        <v>-1.4449048624771686E-3</v>
      </c>
    </row>
    <row r="2249" spans="1:3" ht="13" x14ac:dyDescent="0.15">
      <c r="A2249" s="3">
        <f ca="1">IFERROR(__xludf.DUMMYFUNCTION("""COMPUTED_VALUE"""),43700.6666666666)</f>
        <v>43700.666666666599</v>
      </c>
      <c r="B2249" s="4">
        <f ca="1">IFERROR(__xludf.DUMMYFUNCTION("""COMPUTED_VALUE"""),1151.29)</f>
        <v>1151.29</v>
      </c>
      <c r="C2249" s="5">
        <f t="shared" ca="1" si="0"/>
        <v>-3.2675218297443728E-2</v>
      </c>
    </row>
    <row r="2250" spans="1:3" ht="13" x14ac:dyDescent="0.15">
      <c r="A2250" s="3">
        <f ca="1">IFERROR(__xludf.DUMMYFUNCTION("""COMPUTED_VALUE"""),43703.6666666666)</f>
        <v>43703.666666666599</v>
      </c>
      <c r="B2250" s="4">
        <f ca="1">IFERROR(__xludf.DUMMYFUNCTION("""COMPUTED_VALUE"""),1168.89)</f>
        <v>1168.8900000000001</v>
      </c>
      <c r="C2250" s="5">
        <f t="shared" ca="1" si="0"/>
        <v>1.5171527716880939E-2</v>
      </c>
    </row>
    <row r="2251" spans="1:3" ht="13" x14ac:dyDescent="0.15">
      <c r="A2251" s="3">
        <f ca="1">IFERROR(__xludf.DUMMYFUNCTION("""COMPUTED_VALUE"""),43704.6666666666)</f>
        <v>43704.666666666599</v>
      </c>
      <c r="B2251" s="4">
        <f ca="1">IFERROR(__xludf.DUMMYFUNCTION("""COMPUTED_VALUE"""),1167.84)</f>
        <v>1167.8399999999999</v>
      </c>
      <c r="C2251" s="5">
        <f t="shared" ca="1" si="0"/>
        <v>-8.9869182204982889E-4</v>
      </c>
    </row>
    <row r="2252" spans="1:3" ht="13" x14ac:dyDescent="0.15">
      <c r="A2252" s="3">
        <f ca="1">IFERROR(__xludf.DUMMYFUNCTION("""COMPUTED_VALUE"""),43705.6666666666)</f>
        <v>43705.666666666599</v>
      </c>
      <c r="B2252" s="4">
        <f ca="1">IFERROR(__xludf.DUMMYFUNCTION("""COMPUTED_VALUE"""),1171.02)</f>
        <v>1171.02</v>
      </c>
      <c r="C2252" s="5">
        <f t="shared" ca="1" si="0"/>
        <v>2.7192751678433665E-3</v>
      </c>
    </row>
    <row r="2253" spans="1:3" ht="13" x14ac:dyDescent="0.15">
      <c r="A2253" s="3">
        <f ca="1">IFERROR(__xludf.DUMMYFUNCTION("""COMPUTED_VALUE"""),43706.6666666666)</f>
        <v>43706.666666666599</v>
      </c>
      <c r="B2253" s="4">
        <f ca="1">IFERROR(__xludf.DUMMYFUNCTION("""COMPUTED_VALUE"""),1192.85)</f>
        <v>1192.8499999999999</v>
      </c>
      <c r="C2253" s="5">
        <f t="shared" ca="1" si="0"/>
        <v>1.8470237876542037E-2</v>
      </c>
    </row>
    <row r="2254" spans="1:3" ht="13" x14ac:dyDescent="0.15">
      <c r="A2254" s="3">
        <f ca="1">IFERROR(__xludf.DUMMYFUNCTION("""COMPUTED_VALUE"""),43707.6666666666)</f>
        <v>43707.666666666599</v>
      </c>
      <c r="B2254" s="4">
        <f ca="1">IFERROR(__xludf.DUMMYFUNCTION("""COMPUTED_VALUE"""),1188.1)</f>
        <v>1188.0999999999999</v>
      </c>
      <c r="C2254" s="5">
        <f t="shared" ca="1" si="0"/>
        <v>-3.9900092834657128E-3</v>
      </c>
    </row>
    <row r="2255" spans="1:3" ht="13" x14ac:dyDescent="0.15">
      <c r="A2255" s="3">
        <f ca="1">IFERROR(__xludf.DUMMYFUNCTION("""COMPUTED_VALUE"""),43711.6666666666)</f>
        <v>43711.666666666599</v>
      </c>
      <c r="B2255" s="4">
        <f ca="1">IFERROR(__xludf.DUMMYFUNCTION("""COMPUTED_VALUE"""),1168.39)</f>
        <v>1168.3900000000001</v>
      </c>
      <c r="C2255" s="5">
        <f t="shared" ca="1" si="0"/>
        <v>-1.6728659700051208E-2</v>
      </c>
    </row>
    <row r="2256" spans="1:3" ht="13" x14ac:dyDescent="0.15">
      <c r="A2256" s="3">
        <f ca="1">IFERROR(__xludf.DUMMYFUNCTION("""COMPUTED_VALUE"""),43712.6666666666)</f>
        <v>43712.666666666599</v>
      </c>
      <c r="B2256" s="4">
        <f ca="1">IFERROR(__xludf.DUMMYFUNCTION("""COMPUTED_VALUE"""),1181.41)</f>
        <v>1181.4100000000001</v>
      </c>
      <c r="C2256" s="5">
        <f t="shared" ca="1" si="0"/>
        <v>1.1081907606724718E-2</v>
      </c>
    </row>
    <row r="2257" spans="1:3" ht="13" x14ac:dyDescent="0.15">
      <c r="A2257" s="3">
        <f ca="1">IFERROR(__xludf.DUMMYFUNCTION("""COMPUTED_VALUE"""),43713.6666666666)</f>
        <v>43713.666666666599</v>
      </c>
      <c r="B2257" s="4">
        <f ca="1">IFERROR(__xludf.DUMMYFUNCTION("""COMPUTED_VALUE"""),1211.38)</f>
        <v>1211.3800000000001</v>
      </c>
      <c r="C2257" s="5">
        <f t="shared" ca="1" si="0"/>
        <v>2.5051565216298116E-2</v>
      </c>
    </row>
    <row r="2258" spans="1:3" ht="13" x14ac:dyDescent="0.15">
      <c r="A2258" s="3">
        <f ca="1">IFERROR(__xludf.DUMMYFUNCTION("""COMPUTED_VALUE"""),43714.6666666666)</f>
        <v>43714.666666666599</v>
      </c>
      <c r="B2258" s="4">
        <f ca="1">IFERROR(__xludf.DUMMYFUNCTION("""COMPUTED_VALUE"""),1204.93)</f>
        <v>1204.93</v>
      </c>
      <c r="C2258" s="5">
        <f t="shared" ca="1" si="0"/>
        <v>-5.3387316361290836E-3</v>
      </c>
    </row>
    <row r="2259" spans="1:3" ht="13" x14ac:dyDescent="0.15">
      <c r="A2259" s="3">
        <f ca="1">IFERROR(__xludf.DUMMYFUNCTION("""COMPUTED_VALUE"""),43717.6666666666)</f>
        <v>43717.666666666599</v>
      </c>
      <c r="B2259" s="4">
        <f ca="1">IFERROR(__xludf.DUMMYFUNCTION("""COMPUTED_VALUE"""),1204.41)</f>
        <v>1204.4100000000001</v>
      </c>
      <c r="C2259" s="5">
        <f t="shared" ca="1" si="0"/>
        <v>-4.3165348856870914E-4</v>
      </c>
    </row>
    <row r="2260" spans="1:3" ht="13" x14ac:dyDescent="0.15">
      <c r="A2260" s="3">
        <f ca="1">IFERROR(__xludf.DUMMYFUNCTION("""COMPUTED_VALUE"""),43718.6666666666)</f>
        <v>43718.666666666599</v>
      </c>
      <c r="B2260" s="4">
        <f ca="1">IFERROR(__xludf.DUMMYFUNCTION("""COMPUTED_VALUE"""),1206)</f>
        <v>1206</v>
      </c>
      <c r="C2260" s="5">
        <f t="shared" ca="1" si="0"/>
        <v>1.3192778246151474E-3</v>
      </c>
    </row>
    <row r="2261" spans="1:3" ht="13" x14ac:dyDescent="0.15">
      <c r="A2261" s="3">
        <f ca="1">IFERROR(__xludf.DUMMYFUNCTION("""COMPUTED_VALUE"""),43719.6666666666)</f>
        <v>43719.666666666599</v>
      </c>
      <c r="B2261" s="4">
        <f ca="1">IFERROR(__xludf.DUMMYFUNCTION("""COMPUTED_VALUE"""),1220.17)</f>
        <v>1220.17</v>
      </c>
      <c r="C2261" s="5">
        <f t="shared" ca="1" si="0"/>
        <v>1.1681094994956698E-2</v>
      </c>
    </row>
    <row r="2262" spans="1:3" ht="13" x14ac:dyDescent="0.15">
      <c r="A2262" s="3">
        <f ca="1">IFERROR(__xludf.DUMMYFUNCTION("""COMPUTED_VALUE"""),43720.6666666666)</f>
        <v>43720.666666666599</v>
      </c>
      <c r="B2262" s="4">
        <f ca="1">IFERROR(__xludf.DUMMYFUNCTION("""COMPUTED_VALUE"""),1234.25)</f>
        <v>1234.25</v>
      </c>
      <c r="C2262" s="5">
        <f t="shared" ca="1" si="0"/>
        <v>1.1473304856884759E-2</v>
      </c>
    </row>
    <row r="2263" spans="1:3" ht="13" x14ac:dyDescent="0.15">
      <c r="A2263" s="3">
        <f ca="1">IFERROR(__xludf.DUMMYFUNCTION("""COMPUTED_VALUE"""),43721.6666666666)</f>
        <v>43721.666666666599</v>
      </c>
      <c r="B2263" s="4">
        <f ca="1">IFERROR(__xludf.DUMMYFUNCTION("""COMPUTED_VALUE"""),1239.56)</f>
        <v>1239.56</v>
      </c>
      <c r="C2263" s="5">
        <f t="shared" ca="1" si="0"/>
        <v>4.2929797802813601E-3</v>
      </c>
    </row>
    <row r="2264" spans="1:3" ht="13" x14ac:dyDescent="0.15">
      <c r="A2264" s="3">
        <f ca="1">IFERROR(__xludf.DUMMYFUNCTION("""COMPUTED_VALUE"""),43724.6666666666)</f>
        <v>43724.666666666599</v>
      </c>
      <c r="B2264" s="4">
        <f ca="1">IFERROR(__xludf.DUMMYFUNCTION("""COMPUTED_VALUE"""),1231.3)</f>
        <v>1231.3</v>
      </c>
      <c r="C2264" s="5">
        <f t="shared" ca="1" si="0"/>
        <v>-6.6859561204277674E-3</v>
      </c>
    </row>
    <row r="2265" spans="1:3" ht="13" x14ac:dyDescent="0.15">
      <c r="A2265" s="3">
        <f ca="1">IFERROR(__xludf.DUMMYFUNCTION("""COMPUTED_VALUE"""),43725.6666666666)</f>
        <v>43725.666666666599</v>
      </c>
      <c r="B2265" s="4">
        <f ca="1">IFERROR(__xludf.DUMMYFUNCTION("""COMPUTED_VALUE"""),1229.15)</f>
        <v>1229.1500000000001</v>
      </c>
      <c r="C2265" s="5">
        <f t="shared" ca="1" si="0"/>
        <v>-1.7476482328224168E-3</v>
      </c>
    </row>
    <row r="2266" spans="1:3" ht="13" x14ac:dyDescent="0.15">
      <c r="A2266" s="3">
        <f ca="1">IFERROR(__xludf.DUMMYFUNCTION("""COMPUTED_VALUE"""),43726.6666666666)</f>
        <v>43726.666666666599</v>
      </c>
      <c r="B2266" s="4">
        <f ca="1">IFERROR(__xludf.DUMMYFUNCTION("""COMPUTED_VALUE"""),1232.41)</f>
        <v>1232.4100000000001</v>
      </c>
      <c r="C2266" s="5">
        <f t="shared" ca="1" si="0"/>
        <v>2.6487283722098614E-3</v>
      </c>
    </row>
    <row r="2267" spans="1:3" ht="13" x14ac:dyDescent="0.15">
      <c r="A2267" s="3">
        <f ca="1">IFERROR(__xludf.DUMMYFUNCTION("""COMPUTED_VALUE"""),43727.6666666666)</f>
        <v>43727.666666666599</v>
      </c>
      <c r="B2267" s="4">
        <f ca="1">IFERROR(__xludf.DUMMYFUNCTION("""COMPUTED_VALUE"""),1238.71)</f>
        <v>1238.71</v>
      </c>
      <c r="C2267" s="5">
        <f t="shared" ca="1" si="0"/>
        <v>5.0989135690916714E-3</v>
      </c>
    </row>
    <row r="2268" spans="1:3" ht="13" x14ac:dyDescent="0.15">
      <c r="A2268" s="3">
        <f ca="1">IFERROR(__xludf.DUMMYFUNCTION("""COMPUTED_VALUE"""),43728.6666666666)</f>
        <v>43728.666666666599</v>
      </c>
      <c r="B2268" s="4">
        <f ca="1">IFERROR(__xludf.DUMMYFUNCTION("""COMPUTED_VALUE"""),1229.93)</f>
        <v>1229.93</v>
      </c>
      <c r="C2268" s="5">
        <f t="shared" ca="1" si="0"/>
        <v>-7.1132583294150793E-3</v>
      </c>
    </row>
    <row r="2269" spans="1:3" ht="13" x14ac:dyDescent="0.15">
      <c r="A2269" s="3">
        <f ca="1">IFERROR(__xludf.DUMMYFUNCTION("""COMPUTED_VALUE"""),43731.6666666666)</f>
        <v>43731.666666666599</v>
      </c>
      <c r="B2269" s="4">
        <f ca="1">IFERROR(__xludf.DUMMYFUNCTION("""COMPUTED_VALUE"""),1234.03)</f>
        <v>1234.03</v>
      </c>
      <c r="C2269" s="5">
        <f t="shared" ca="1" si="0"/>
        <v>3.3279791750756948E-3</v>
      </c>
    </row>
    <row r="2270" spans="1:3" ht="13" x14ac:dyDescent="0.15">
      <c r="A2270" s="3">
        <f ca="1">IFERROR(__xludf.DUMMYFUNCTION("""COMPUTED_VALUE"""),43732.6666666666)</f>
        <v>43732.666666666599</v>
      </c>
      <c r="B2270" s="4">
        <f ca="1">IFERROR(__xludf.DUMMYFUNCTION("""COMPUTED_VALUE"""),1218.76)</f>
        <v>1218.76</v>
      </c>
      <c r="C2270" s="5">
        <f t="shared" ca="1" si="0"/>
        <v>-1.2451287946365104E-2</v>
      </c>
    </row>
    <row r="2271" spans="1:3" ht="13" x14ac:dyDescent="0.15">
      <c r="A2271" s="3">
        <f ca="1">IFERROR(__xludf.DUMMYFUNCTION("""COMPUTED_VALUE"""),43733.6666666666)</f>
        <v>43733.666666666599</v>
      </c>
      <c r="B2271" s="4">
        <f ca="1">IFERROR(__xludf.DUMMYFUNCTION("""COMPUTED_VALUE"""),1246.52)</f>
        <v>1246.52</v>
      </c>
      <c r="C2271" s="5">
        <f t="shared" ca="1" si="0"/>
        <v>2.2521720354086117E-2</v>
      </c>
    </row>
    <row r="2272" spans="1:3" ht="13" x14ac:dyDescent="0.15">
      <c r="A2272" s="3">
        <f ca="1">IFERROR(__xludf.DUMMYFUNCTION("""COMPUTED_VALUE"""),43734.6666666666)</f>
        <v>43734.666666666599</v>
      </c>
      <c r="B2272" s="4">
        <f ca="1">IFERROR(__xludf.DUMMYFUNCTION("""COMPUTED_VALUE"""),1241.39)</f>
        <v>1241.3900000000001</v>
      </c>
      <c r="C2272" s="5">
        <f t="shared" ca="1" si="0"/>
        <v>-4.1239492348774925E-3</v>
      </c>
    </row>
    <row r="2273" spans="1:3" ht="13" x14ac:dyDescent="0.15">
      <c r="A2273" s="3">
        <f ca="1">IFERROR(__xludf.DUMMYFUNCTION("""COMPUTED_VALUE"""),43735.6666666666)</f>
        <v>43735.666666666599</v>
      </c>
      <c r="B2273" s="4">
        <f ca="1">IFERROR(__xludf.DUMMYFUNCTION("""COMPUTED_VALUE"""),1225.09)</f>
        <v>1225.0899999999999</v>
      </c>
      <c r="C2273" s="5">
        <f t="shared" ca="1" si="0"/>
        <v>-1.3217408857969759E-2</v>
      </c>
    </row>
    <row r="2274" spans="1:3" ht="13" x14ac:dyDescent="0.15">
      <c r="A2274" s="3">
        <f ca="1">IFERROR(__xludf.DUMMYFUNCTION("""COMPUTED_VALUE"""),43738.6666666666)</f>
        <v>43738.666666666599</v>
      </c>
      <c r="B2274" s="4">
        <f ca="1">IFERROR(__xludf.DUMMYFUNCTION("""COMPUTED_VALUE"""),1219)</f>
        <v>1219</v>
      </c>
      <c r="C2274" s="5">
        <f t="shared" ca="1" si="0"/>
        <v>-4.9834601865675413E-3</v>
      </c>
    </row>
    <row r="2275" spans="1:3" ht="13" x14ac:dyDescent="0.15">
      <c r="A2275" s="3">
        <f ca="1">IFERROR(__xludf.DUMMYFUNCTION("""COMPUTED_VALUE"""),43739.6666666666)</f>
        <v>43739.666666666599</v>
      </c>
      <c r="B2275" s="4">
        <f ca="1">IFERROR(__xludf.DUMMYFUNCTION("""COMPUTED_VALUE"""),1205.1)</f>
        <v>1205.0999999999999</v>
      </c>
      <c r="C2275" s="5">
        <f t="shared" ca="1" si="0"/>
        <v>-1.146829944792541E-2</v>
      </c>
    </row>
    <row r="2276" spans="1:3" ht="13" x14ac:dyDescent="0.15">
      <c r="A2276" s="3">
        <f ca="1">IFERROR(__xludf.DUMMYFUNCTION("""COMPUTED_VALUE"""),43740.6666666666)</f>
        <v>43740.666666666599</v>
      </c>
      <c r="B2276" s="4">
        <f ca="1">IFERROR(__xludf.DUMMYFUNCTION("""COMPUTED_VALUE"""),1176.63)</f>
        <v>1176.6300000000001</v>
      </c>
      <c r="C2276" s="5">
        <f t="shared" ca="1" si="0"/>
        <v>-2.3908130732729935E-2</v>
      </c>
    </row>
    <row r="2277" spans="1:3" ht="13" x14ac:dyDescent="0.15">
      <c r="A2277" s="3">
        <f ca="1">IFERROR(__xludf.DUMMYFUNCTION("""COMPUTED_VALUE"""),43741.6666666666)</f>
        <v>43741.666666666599</v>
      </c>
      <c r="B2277" s="4">
        <f ca="1">IFERROR(__xludf.DUMMYFUNCTION("""COMPUTED_VALUE"""),1187.83)</f>
        <v>1187.83</v>
      </c>
      <c r="C2277" s="5">
        <f t="shared" ca="1" si="0"/>
        <v>9.4736927394317768E-3</v>
      </c>
    </row>
    <row r="2278" spans="1:3" ht="13" x14ac:dyDescent="0.15">
      <c r="A2278" s="3">
        <f ca="1">IFERROR(__xludf.DUMMYFUNCTION("""COMPUTED_VALUE"""),43742.6666666666)</f>
        <v>43742.666666666599</v>
      </c>
      <c r="B2278" s="4">
        <f ca="1">IFERROR(__xludf.DUMMYFUNCTION("""COMPUTED_VALUE"""),1209)</f>
        <v>1209</v>
      </c>
      <c r="C2278" s="5">
        <f t="shared" ca="1" si="0"/>
        <v>1.7665458574744608E-2</v>
      </c>
    </row>
    <row r="2279" spans="1:3" ht="13" x14ac:dyDescent="0.15">
      <c r="A2279" s="3">
        <f ca="1">IFERROR(__xludf.DUMMYFUNCTION("""COMPUTED_VALUE"""),43745.6666666666)</f>
        <v>43745.666666666599</v>
      </c>
      <c r="B2279" s="4">
        <f ca="1">IFERROR(__xludf.DUMMYFUNCTION("""COMPUTED_VALUE"""),1207.68)</f>
        <v>1207.68</v>
      </c>
      <c r="C2279" s="5">
        <f t="shared" ca="1" si="0"/>
        <v>-1.0924078746618725E-3</v>
      </c>
    </row>
    <row r="2280" spans="1:3" ht="13" x14ac:dyDescent="0.15">
      <c r="A2280" s="3">
        <f ca="1">IFERROR(__xludf.DUMMYFUNCTION("""COMPUTED_VALUE"""),43746.6666666666)</f>
        <v>43746.666666666599</v>
      </c>
      <c r="B2280" s="4">
        <f ca="1">IFERROR(__xludf.DUMMYFUNCTION("""COMPUTED_VALUE"""),1189.13)</f>
        <v>1189.1300000000001</v>
      </c>
      <c r="C2280" s="5">
        <f t="shared" ca="1" si="0"/>
        <v>-1.5479216449932897E-2</v>
      </c>
    </row>
    <row r="2281" spans="1:3" ht="13" x14ac:dyDescent="0.15">
      <c r="A2281" s="3">
        <f ca="1">IFERROR(__xludf.DUMMYFUNCTION("""COMPUTED_VALUE"""),43747.6666666666)</f>
        <v>43747.666666666599</v>
      </c>
      <c r="B2281" s="4">
        <f ca="1">IFERROR(__xludf.DUMMYFUNCTION("""COMPUTED_VALUE"""),1202.31)</f>
        <v>1202.31</v>
      </c>
      <c r="C2281" s="5">
        <f t="shared" ca="1" si="0"/>
        <v>1.1022759047742151E-2</v>
      </c>
    </row>
    <row r="2282" spans="1:3" ht="13" x14ac:dyDescent="0.15">
      <c r="A2282" s="3">
        <f ca="1">IFERROR(__xludf.DUMMYFUNCTION("""COMPUTED_VALUE"""),43748.6666666666)</f>
        <v>43748.666666666599</v>
      </c>
      <c r="B2282" s="4">
        <f ca="1">IFERROR(__xludf.DUMMYFUNCTION("""COMPUTED_VALUE"""),1208.67)</f>
        <v>1208.67</v>
      </c>
      <c r="C2282" s="5">
        <f t="shared" ca="1" si="0"/>
        <v>5.2758751648444603E-3</v>
      </c>
    </row>
    <row r="2283" spans="1:3" ht="13" x14ac:dyDescent="0.15">
      <c r="A2283" s="3">
        <f ca="1">IFERROR(__xludf.DUMMYFUNCTION("""COMPUTED_VALUE"""),43749.6666666666)</f>
        <v>43749.666666666599</v>
      </c>
      <c r="B2283" s="4">
        <f ca="1">IFERROR(__xludf.DUMMYFUNCTION("""COMPUTED_VALUE"""),1215.45)</f>
        <v>1215.45</v>
      </c>
      <c r="C2283" s="5">
        <f t="shared" ca="1" si="0"/>
        <v>5.593797072059494E-3</v>
      </c>
    </row>
    <row r="2284" spans="1:3" ht="13" x14ac:dyDescent="0.15">
      <c r="A2284" s="3">
        <f ca="1">IFERROR(__xludf.DUMMYFUNCTION("""COMPUTED_VALUE"""),43752.6666666666)</f>
        <v>43752.666666666599</v>
      </c>
      <c r="B2284" s="4">
        <f ca="1">IFERROR(__xludf.DUMMYFUNCTION("""COMPUTED_VALUE"""),1217.14)</f>
        <v>1217.1400000000001</v>
      </c>
      <c r="C2284" s="5">
        <f t="shared" ca="1" si="0"/>
        <v>1.3894657726085551E-3</v>
      </c>
    </row>
    <row r="2285" spans="1:3" ht="13" x14ac:dyDescent="0.15">
      <c r="A2285" s="3">
        <f ca="1">IFERROR(__xludf.DUMMYFUNCTION("""COMPUTED_VALUE"""),43753.6666666666)</f>
        <v>43753.666666666599</v>
      </c>
      <c r="B2285" s="4">
        <f ca="1">IFERROR(__xludf.DUMMYFUNCTION("""COMPUTED_VALUE"""),1243.01)</f>
        <v>1243.01</v>
      </c>
      <c r="C2285" s="5">
        <f t="shared" ca="1" si="0"/>
        <v>2.1032013183189979E-2</v>
      </c>
    </row>
    <row r="2286" spans="1:3" ht="13" x14ac:dyDescent="0.15">
      <c r="A2286" s="3">
        <f ca="1">IFERROR(__xludf.DUMMYFUNCTION("""COMPUTED_VALUE"""),43754.6666666666)</f>
        <v>43754.666666666599</v>
      </c>
      <c r="B2286" s="4">
        <f ca="1">IFERROR(__xludf.DUMMYFUNCTION("""COMPUTED_VALUE"""),1243.64)</f>
        <v>1243.6400000000001</v>
      </c>
      <c r="C2286" s="5">
        <f t="shared" ca="1" si="0"/>
        <v>5.0670581986165793E-4</v>
      </c>
    </row>
    <row r="2287" spans="1:3" ht="13" x14ac:dyDescent="0.15">
      <c r="A2287" s="3">
        <f ca="1">IFERROR(__xludf.DUMMYFUNCTION("""COMPUTED_VALUE"""),43755.6666666666)</f>
        <v>43755.666666666599</v>
      </c>
      <c r="B2287" s="4">
        <f ca="1">IFERROR(__xludf.DUMMYFUNCTION("""COMPUTED_VALUE"""),1253.07)</f>
        <v>1253.07</v>
      </c>
      <c r="C2287" s="5">
        <f t="shared" ca="1" si="0"/>
        <v>7.553976906909135E-3</v>
      </c>
    </row>
    <row r="2288" spans="1:3" ht="13" x14ac:dyDescent="0.15">
      <c r="A2288" s="3">
        <f ca="1">IFERROR(__xludf.DUMMYFUNCTION("""COMPUTED_VALUE"""),43756.6666666666)</f>
        <v>43756.666666666599</v>
      </c>
      <c r="B2288" s="4">
        <f ca="1">IFERROR(__xludf.DUMMYFUNCTION("""COMPUTED_VALUE"""),1245.49)</f>
        <v>1245.49</v>
      </c>
      <c r="C2288" s="5">
        <f t="shared" ca="1" si="0"/>
        <v>-6.067513491464718E-3</v>
      </c>
    </row>
    <row r="2289" spans="1:3" ht="13" x14ac:dyDescent="0.15">
      <c r="A2289" s="3">
        <f ca="1">IFERROR(__xludf.DUMMYFUNCTION("""COMPUTED_VALUE"""),43759.6666666666)</f>
        <v>43759.666666666599</v>
      </c>
      <c r="B2289" s="4">
        <f ca="1">IFERROR(__xludf.DUMMYFUNCTION("""COMPUTED_VALUE"""),1246.15)</f>
        <v>1246.1500000000001</v>
      </c>
      <c r="C2289" s="5">
        <f t="shared" ca="1" si="0"/>
        <v>5.2977156847409208E-4</v>
      </c>
    </row>
    <row r="2290" spans="1:3" ht="13" x14ac:dyDescent="0.15">
      <c r="A2290" s="3">
        <f ca="1">IFERROR(__xludf.DUMMYFUNCTION("""COMPUTED_VALUE"""),43760.6666666666)</f>
        <v>43760.666666666599</v>
      </c>
      <c r="B2290" s="4">
        <f ca="1">IFERROR(__xludf.DUMMYFUNCTION("""COMPUTED_VALUE"""),1242.8)</f>
        <v>1242.8</v>
      </c>
      <c r="C2290" s="5">
        <f t="shared" ca="1" si="0"/>
        <v>-2.6918998155303392E-3</v>
      </c>
    </row>
    <row r="2291" spans="1:3" ht="13" x14ac:dyDescent="0.15">
      <c r="A2291" s="3">
        <f ca="1">IFERROR(__xludf.DUMMYFUNCTION("""COMPUTED_VALUE"""),43761.6666666666)</f>
        <v>43761.666666666599</v>
      </c>
      <c r="B2291" s="4">
        <f ca="1">IFERROR(__xludf.DUMMYFUNCTION("""COMPUTED_VALUE"""),1259.13)</f>
        <v>1259.1300000000001</v>
      </c>
      <c r="C2291" s="5">
        <f t="shared" ca="1" si="0"/>
        <v>1.3054107747683643E-2</v>
      </c>
    </row>
    <row r="2292" spans="1:3" ht="13" x14ac:dyDescent="0.15">
      <c r="A2292" s="3">
        <f ca="1">IFERROR(__xludf.DUMMYFUNCTION("""COMPUTED_VALUE"""),43762.6666666666)</f>
        <v>43762.666666666599</v>
      </c>
      <c r="B2292" s="4">
        <f ca="1">IFERROR(__xludf.DUMMYFUNCTION("""COMPUTED_VALUE"""),1260.99)</f>
        <v>1260.99</v>
      </c>
      <c r="C2292" s="5">
        <f t="shared" ca="1" si="0"/>
        <v>1.4761204527833714E-3</v>
      </c>
    </row>
    <row r="2293" spans="1:3" ht="13" x14ac:dyDescent="0.15">
      <c r="A2293" s="3">
        <f ca="1">IFERROR(__xludf.DUMMYFUNCTION("""COMPUTED_VALUE"""),43763.6666666666)</f>
        <v>43763.666666666599</v>
      </c>
      <c r="B2293" s="4">
        <f ca="1">IFERROR(__xludf.DUMMYFUNCTION("""COMPUTED_VALUE"""),1265.13)</f>
        <v>1265.1300000000001</v>
      </c>
      <c r="C2293" s="5">
        <f t="shared" ca="1" si="0"/>
        <v>3.2777569605345622E-3</v>
      </c>
    </row>
    <row r="2294" spans="1:3" ht="13" x14ac:dyDescent="0.15">
      <c r="A2294" s="3">
        <f ca="1">IFERROR(__xludf.DUMMYFUNCTION("""COMPUTED_VALUE"""),43766.6666666666)</f>
        <v>43766.666666666599</v>
      </c>
      <c r="B2294" s="4">
        <f ca="1">IFERROR(__xludf.DUMMYFUNCTION("""COMPUTED_VALUE"""),1290)</f>
        <v>1290</v>
      </c>
      <c r="C2294" s="5">
        <f t="shared" ca="1" si="0"/>
        <v>1.9467334675823893E-2</v>
      </c>
    </row>
    <row r="2295" spans="1:3" ht="13" x14ac:dyDescent="0.15">
      <c r="A2295" s="3">
        <f ca="1">IFERROR(__xludf.DUMMYFUNCTION("""COMPUTED_VALUE"""),43767.6666666666)</f>
        <v>43767.666666666599</v>
      </c>
      <c r="B2295" s="4">
        <f ca="1">IFERROR(__xludf.DUMMYFUNCTION("""COMPUTED_VALUE"""),1262.62)</f>
        <v>1262.6199999999999</v>
      </c>
      <c r="C2295" s="5">
        <f t="shared" ca="1" si="0"/>
        <v>-2.1453291218170432E-2</v>
      </c>
    </row>
    <row r="2296" spans="1:3" ht="13" x14ac:dyDescent="0.15">
      <c r="A2296" s="3">
        <f ca="1">IFERROR(__xludf.DUMMYFUNCTION("""COMPUTED_VALUE"""),43768.6666666666)</f>
        <v>43768.666666666599</v>
      </c>
      <c r="B2296" s="4">
        <f ca="1">IFERROR(__xludf.DUMMYFUNCTION("""COMPUTED_VALUE"""),1261.29)</f>
        <v>1261.29</v>
      </c>
      <c r="C2296" s="5">
        <f t="shared" ca="1" si="0"/>
        <v>-1.0539204037448696E-3</v>
      </c>
    </row>
    <row r="2297" spans="1:3" ht="13" x14ac:dyDescent="0.15">
      <c r="A2297" s="3">
        <f ca="1">IFERROR(__xludf.DUMMYFUNCTION("""COMPUTED_VALUE"""),43769.6666666666)</f>
        <v>43769.666666666599</v>
      </c>
      <c r="B2297" s="4">
        <f ca="1">IFERROR(__xludf.DUMMYFUNCTION("""COMPUTED_VALUE"""),1260.11)</f>
        <v>1260.1099999999999</v>
      </c>
      <c r="C2297" s="5">
        <f t="shared" ca="1" si="0"/>
        <v>-9.3598801153902257E-4</v>
      </c>
    </row>
    <row r="2298" spans="1:3" ht="13" x14ac:dyDescent="0.15">
      <c r="A2298" s="3">
        <f ca="1">IFERROR(__xludf.DUMMYFUNCTION("""COMPUTED_VALUE"""),43770.6666666666)</f>
        <v>43770.666666666599</v>
      </c>
      <c r="B2298" s="4">
        <f ca="1">IFERROR(__xludf.DUMMYFUNCTION("""COMPUTED_VALUE"""),1273.74)</f>
        <v>1273.74</v>
      </c>
      <c r="C2298" s="5">
        <f t="shared" ca="1" si="0"/>
        <v>1.0758435949702194E-2</v>
      </c>
    </row>
    <row r="2299" spans="1:3" ht="13" x14ac:dyDescent="0.15">
      <c r="A2299" s="3">
        <f ca="1">IFERROR(__xludf.DUMMYFUNCTION("""COMPUTED_VALUE"""),43773.6666666666)</f>
        <v>43773.666666666599</v>
      </c>
      <c r="B2299" s="4">
        <f ca="1">IFERROR(__xludf.DUMMYFUNCTION("""COMPUTED_VALUE"""),1291.37)</f>
        <v>1291.3699999999999</v>
      </c>
      <c r="C2299" s="5">
        <f t="shared" ca="1" si="0"/>
        <v>1.3746215648119496E-2</v>
      </c>
    </row>
    <row r="2300" spans="1:3" ht="13" x14ac:dyDescent="0.15">
      <c r="A2300" s="3">
        <f ca="1">IFERROR(__xludf.DUMMYFUNCTION("""COMPUTED_VALUE"""),43774.6666666666)</f>
        <v>43774.666666666599</v>
      </c>
      <c r="B2300" s="4">
        <f ca="1">IFERROR(__xludf.DUMMYFUNCTION("""COMPUTED_VALUE"""),1292.03)</f>
        <v>1292.03</v>
      </c>
      <c r="C2300" s="5">
        <f t="shared" ca="1" si="0"/>
        <v>5.1095456712799852E-4</v>
      </c>
    </row>
    <row r="2301" spans="1:3" ht="13" x14ac:dyDescent="0.15">
      <c r="A2301" s="3">
        <f ca="1">IFERROR(__xludf.DUMMYFUNCTION("""COMPUTED_VALUE"""),43775.6666666666)</f>
        <v>43775.666666666599</v>
      </c>
      <c r="B2301" s="4">
        <f ca="1">IFERROR(__xludf.DUMMYFUNCTION("""COMPUTED_VALUE"""),1291.8)</f>
        <v>1291.8</v>
      </c>
      <c r="C2301" s="5">
        <f t="shared" ca="1" si="0"/>
        <v>-1.7803028884054954E-4</v>
      </c>
    </row>
    <row r="2302" spans="1:3" ht="13" x14ac:dyDescent="0.15">
      <c r="A2302" s="3">
        <f ca="1">IFERROR(__xludf.DUMMYFUNCTION("""COMPUTED_VALUE"""),43776.6666666666)</f>
        <v>43776.666666666599</v>
      </c>
      <c r="B2302" s="4">
        <f ca="1">IFERROR(__xludf.DUMMYFUNCTION("""COMPUTED_VALUE"""),1308.86)</f>
        <v>1308.8599999999999</v>
      </c>
      <c r="C2302" s="5">
        <f t="shared" ca="1" si="0"/>
        <v>1.3119934720110462E-2</v>
      </c>
    </row>
    <row r="2303" spans="1:3" ht="13" x14ac:dyDescent="0.15">
      <c r="A2303" s="3">
        <f ca="1">IFERROR(__xludf.DUMMYFUNCTION("""COMPUTED_VALUE"""),43777.6666666666)</f>
        <v>43777.666666666599</v>
      </c>
      <c r="B2303" s="4">
        <f ca="1">IFERROR(__xludf.DUMMYFUNCTION("""COMPUTED_VALUE"""),1311.37)</f>
        <v>1311.37</v>
      </c>
      <c r="C2303" s="5">
        <f t="shared" ca="1" si="0"/>
        <v>1.9158629339810415E-3</v>
      </c>
    </row>
    <row r="2304" spans="1:3" ht="13" x14ac:dyDescent="0.15">
      <c r="A2304" s="3">
        <f ca="1">IFERROR(__xludf.DUMMYFUNCTION("""COMPUTED_VALUE"""),43780.6666666666)</f>
        <v>43780.666666666599</v>
      </c>
      <c r="B2304" s="4">
        <f ca="1">IFERROR(__xludf.DUMMYFUNCTION("""COMPUTED_VALUE"""),1299.19)</f>
        <v>1299.19</v>
      </c>
      <c r="C2304" s="5">
        <f t="shared" ca="1" si="0"/>
        <v>-9.3313989190077565E-3</v>
      </c>
    </row>
    <row r="2305" spans="1:3" ht="13" x14ac:dyDescent="0.15">
      <c r="A2305" s="3">
        <f ca="1">IFERROR(__xludf.DUMMYFUNCTION("""COMPUTED_VALUE"""),43781.6666666666)</f>
        <v>43781.666666666599</v>
      </c>
      <c r="B2305" s="4">
        <f ca="1">IFERROR(__xludf.DUMMYFUNCTION("""COMPUTED_VALUE"""),1298.8)</f>
        <v>1298.8</v>
      </c>
      <c r="C2305" s="5">
        <f t="shared" ca="1" si="0"/>
        <v>-3.0023210476534635E-4</v>
      </c>
    </row>
    <row r="2306" spans="1:3" ht="13" x14ac:dyDescent="0.15">
      <c r="A2306" s="3">
        <f ca="1">IFERROR(__xludf.DUMMYFUNCTION("""COMPUTED_VALUE"""),43782.6666666666)</f>
        <v>43782.666666666599</v>
      </c>
      <c r="B2306" s="4">
        <f ca="1">IFERROR(__xludf.DUMMYFUNCTION("""COMPUTED_VALUE"""),1298)</f>
        <v>1298</v>
      </c>
      <c r="C2306" s="5">
        <f t="shared" ca="1" si="0"/>
        <v>-6.1614296465553218E-4</v>
      </c>
    </row>
    <row r="2307" spans="1:3" ht="13" x14ac:dyDescent="0.15">
      <c r="A2307" s="3">
        <f ca="1">IFERROR(__xludf.DUMMYFUNCTION("""COMPUTED_VALUE"""),43783.6666666666)</f>
        <v>43783.666666666599</v>
      </c>
      <c r="B2307" s="4">
        <f ca="1">IFERROR(__xludf.DUMMYFUNCTION("""COMPUTED_VALUE"""),1311.46)</f>
        <v>1311.46</v>
      </c>
      <c r="C2307" s="5">
        <f t="shared" ca="1" si="0"/>
        <v>1.0316402149640443E-2</v>
      </c>
    </row>
    <row r="2308" spans="1:3" ht="13" x14ac:dyDescent="0.15">
      <c r="A2308" s="3">
        <f ca="1">IFERROR(__xludf.DUMMYFUNCTION("""COMPUTED_VALUE"""),43784.6666666666)</f>
        <v>43784.666666666599</v>
      </c>
      <c r="B2308" s="4">
        <f ca="1">IFERROR(__xludf.DUMMYFUNCTION("""COMPUTED_VALUE"""),1334.87)</f>
        <v>1334.87</v>
      </c>
      <c r="C2308" s="5">
        <f t="shared" ca="1" si="0"/>
        <v>1.7692888401948419E-2</v>
      </c>
    </row>
    <row r="2309" spans="1:3" ht="13" x14ac:dyDescent="0.15">
      <c r="A2309" s="3">
        <f ca="1">IFERROR(__xludf.DUMMYFUNCTION("""COMPUTED_VALUE"""),43787.6666666666)</f>
        <v>43787.666666666599</v>
      </c>
      <c r="B2309" s="4">
        <f ca="1">IFERROR(__xludf.DUMMYFUNCTION("""COMPUTED_VALUE"""),1320.7)</f>
        <v>1320.7</v>
      </c>
      <c r="C2309" s="5">
        <f t="shared" ca="1" si="0"/>
        <v>-1.0672009765865367E-2</v>
      </c>
    </row>
    <row r="2310" spans="1:3" ht="13" x14ac:dyDescent="0.15">
      <c r="A2310" s="3">
        <f ca="1">IFERROR(__xludf.DUMMYFUNCTION("""COMPUTED_VALUE"""),43788.6666666666)</f>
        <v>43788.666666666599</v>
      </c>
      <c r="B2310" s="4">
        <f ca="1">IFERROR(__xludf.DUMMYFUNCTION("""COMPUTED_VALUE"""),1315.46)</f>
        <v>1315.46</v>
      </c>
      <c r="C2310" s="5">
        <f t="shared" ca="1" si="0"/>
        <v>-3.9754847211756674E-3</v>
      </c>
    </row>
    <row r="2311" spans="1:3" ht="13" x14ac:dyDescent="0.15">
      <c r="A2311" s="3">
        <f ca="1">IFERROR(__xludf.DUMMYFUNCTION("""COMPUTED_VALUE"""),43789.6666666666)</f>
        <v>43789.666666666599</v>
      </c>
      <c r="B2311" s="4">
        <f ca="1">IFERROR(__xludf.DUMMYFUNCTION("""COMPUTED_VALUE"""),1303.05)</f>
        <v>1303.05</v>
      </c>
      <c r="C2311" s="5">
        <f t="shared" ca="1" si="0"/>
        <v>-9.4787439545438827E-3</v>
      </c>
    </row>
    <row r="2312" spans="1:3" ht="13" x14ac:dyDescent="0.15">
      <c r="A2312" s="3">
        <f ca="1">IFERROR(__xludf.DUMMYFUNCTION("""COMPUTED_VALUE"""),43790.6666666666)</f>
        <v>43790.666666666599</v>
      </c>
      <c r="B2312" s="4">
        <f ca="1">IFERROR(__xludf.DUMMYFUNCTION("""COMPUTED_VALUE"""),1301.35)</f>
        <v>1301.3499999999999</v>
      </c>
      <c r="C2312" s="5">
        <f t="shared" ca="1" si="0"/>
        <v>-1.3054832141303713E-3</v>
      </c>
    </row>
    <row r="2313" spans="1:3" ht="13" x14ac:dyDescent="0.15">
      <c r="A2313" s="3">
        <f ca="1">IFERROR(__xludf.DUMMYFUNCTION("""COMPUTED_VALUE"""),43791.6666666666)</f>
        <v>43791.666666666599</v>
      </c>
      <c r="B2313" s="4">
        <f ca="1">IFERROR(__xludf.DUMMYFUNCTION("""COMPUTED_VALUE"""),1295.34)</f>
        <v>1295.3399999999999</v>
      </c>
      <c r="C2313" s="5">
        <f t="shared" ca="1" si="0"/>
        <v>-4.6289782234861078E-3</v>
      </c>
    </row>
    <row r="2314" spans="1:3" ht="13" x14ac:dyDescent="0.15">
      <c r="A2314" s="3">
        <f ca="1">IFERROR(__xludf.DUMMYFUNCTION("""COMPUTED_VALUE"""),43794.6666666666)</f>
        <v>43794.666666666599</v>
      </c>
      <c r="B2314" s="4">
        <f ca="1">IFERROR(__xludf.DUMMYFUNCTION("""COMPUTED_VALUE"""),1306.69)</f>
        <v>1306.69</v>
      </c>
      <c r="C2314" s="5">
        <f t="shared" ca="1" si="0"/>
        <v>8.7240131633961378E-3</v>
      </c>
    </row>
    <row r="2315" spans="1:3" ht="13" x14ac:dyDescent="0.15">
      <c r="A2315" s="3">
        <f ca="1">IFERROR(__xludf.DUMMYFUNCTION("""COMPUTED_VALUE"""),43795.6666666666)</f>
        <v>43795.666666666599</v>
      </c>
      <c r="B2315" s="4">
        <f ca="1">IFERROR(__xludf.DUMMYFUNCTION("""COMPUTED_VALUE"""),1313.55)</f>
        <v>1313.55</v>
      </c>
      <c r="C2315" s="5">
        <f t="shared" ca="1" si="0"/>
        <v>5.2361735365242558E-3</v>
      </c>
    </row>
    <row r="2316" spans="1:3" ht="13" x14ac:dyDescent="0.15">
      <c r="A2316" s="3">
        <f ca="1">IFERROR(__xludf.DUMMYFUNCTION("""COMPUTED_VALUE"""),43796.6666666666)</f>
        <v>43796.666666666599</v>
      </c>
      <c r="B2316" s="4">
        <f ca="1">IFERROR(__xludf.DUMMYFUNCTION("""COMPUTED_VALUE"""),1312.99)</f>
        <v>1312.99</v>
      </c>
      <c r="C2316" s="5">
        <f t="shared" ca="1" si="0"/>
        <v>-4.2641650877995251E-4</v>
      </c>
    </row>
    <row r="2317" spans="1:3" ht="13" x14ac:dyDescent="0.15">
      <c r="A2317" s="3">
        <f ca="1">IFERROR(__xludf.DUMMYFUNCTION("""COMPUTED_VALUE"""),43798.5416666666)</f>
        <v>43798.541666666599</v>
      </c>
      <c r="B2317" s="4">
        <f ca="1">IFERROR(__xludf.DUMMYFUNCTION("""COMPUTED_VALUE"""),1304.96)</f>
        <v>1304.96</v>
      </c>
      <c r="C2317" s="5">
        <f t="shared" ca="1" si="0"/>
        <v>-6.1345901815274863E-3</v>
      </c>
    </row>
    <row r="2318" spans="1:3" ht="13" x14ac:dyDescent="0.15">
      <c r="A2318" s="3">
        <f ca="1">IFERROR(__xludf.DUMMYFUNCTION("""COMPUTED_VALUE"""),43801.6666666666)</f>
        <v>43801.666666666599</v>
      </c>
      <c r="B2318" s="4">
        <f ca="1">IFERROR(__xludf.DUMMYFUNCTION("""COMPUTED_VALUE"""),1289.92)</f>
        <v>1289.92</v>
      </c>
      <c r="C2318" s="5">
        <f t="shared" ca="1" si="0"/>
        <v>-1.15921880172347E-2</v>
      </c>
    </row>
    <row r="2319" spans="1:3" ht="13" x14ac:dyDescent="0.15">
      <c r="A2319" s="3">
        <f ca="1">IFERROR(__xludf.DUMMYFUNCTION("""COMPUTED_VALUE"""),43802.6666666666)</f>
        <v>43802.666666666599</v>
      </c>
      <c r="B2319" s="4">
        <f ca="1">IFERROR(__xludf.DUMMYFUNCTION("""COMPUTED_VALUE"""),1295.28)</f>
        <v>1295.28</v>
      </c>
      <c r="C2319" s="5">
        <f t="shared" ca="1" si="0"/>
        <v>4.1466870496960342E-3</v>
      </c>
    </row>
    <row r="2320" spans="1:3" ht="13" x14ac:dyDescent="0.15">
      <c r="A2320" s="3">
        <f ca="1">IFERROR(__xludf.DUMMYFUNCTION("""COMPUTED_VALUE"""),43803.6666666666)</f>
        <v>43803.666666666599</v>
      </c>
      <c r="B2320" s="4">
        <f ca="1">IFERROR(__xludf.DUMMYFUNCTION("""COMPUTED_VALUE"""),1320.54)</f>
        <v>1320.54</v>
      </c>
      <c r="C2320" s="5">
        <f t="shared" ca="1" si="0"/>
        <v>1.9313855856138571E-2</v>
      </c>
    </row>
    <row r="2321" spans="1:3" ht="13" x14ac:dyDescent="0.15">
      <c r="A2321" s="3">
        <f ca="1">IFERROR(__xludf.DUMMYFUNCTION("""COMPUTED_VALUE"""),43804.6666666666)</f>
        <v>43804.666666666599</v>
      </c>
      <c r="B2321" s="4">
        <f ca="1">IFERROR(__xludf.DUMMYFUNCTION("""COMPUTED_VALUE"""),1328.13)</f>
        <v>1328.13</v>
      </c>
      <c r="C2321" s="5">
        <f t="shared" ca="1" si="0"/>
        <v>5.7311939769419881E-3</v>
      </c>
    </row>
    <row r="2322" spans="1:3" ht="13" x14ac:dyDescent="0.15">
      <c r="A2322" s="3">
        <f ca="1">IFERROR(__xludf.DUMMYFUNCTION("""COMPUTED_VALUE"""),43805.6666666666)</f>
        <v>43805.666666666599</v>
      </c>
      <c r="B2322" s="4">
        <f ca="1">IFERROR(__xludf.DUMMYFUNCTION("""COMPUTED_VALUE"""),1340.62)</f>
        <v>1340.62</v>
      </c>
      <c r="C2322" s="5">
        <f t="shared" ca="1" si="0"/>
        <v>9.3602556941195895E-3</v>
      </c>
    </row>
    <row r="2323" spans="1:3" ht="13" x14ac:dyDescent="0.15">
      <c r="A2323" s="3">
        <f ca="1">IFERROR(__xludf.DUMMYFUNCTION("""COMPUTED_VALUE"""),43808.6666666666)</f>
        <v>43808.666666666599</v>
      </c>
      <c r="B2323" s="4">
        <f ca="1">IFERROR(__xludf.DUMMYFUNCTION("""COMPUTED_VALUE"""),1343.56)</f>
        <v>1343.56</v>
      </c>
      <c r="C2323" s="5">
        <f t="shared" ca="1" si="0"/>
        <v>2.1906140241738257E-3</v>
      </c>
    </row>
    <row r="2324" spans="1:3" ht="13" x14ac:dyDescent="0.15">
      <c r="A2324" s="3">
        <f ca="1">IFERROR(__xludf.DUMMYFUNCTION("""COMPUTED_VALUE"""),43809.6666666666)</f>
        <v>43809.666666666599</v>
      </c>
      <c r="B2324" s="4">
        <f ca="1">IFERROR(__xludf.DUMMYFUNCTION("""COMPUTED_VALUE"""),1344.66)</f>
        <v>1344.66</v>
      </c>
      <c r="C2324" s="5">
        <f t="shared" ca="1" si="0"/>
        <v>8.1838544568097024E-4</v>
      </c>
    </row>
    <row r="2325" spans="1:3" ht="13" x14ac:dyDescent="0.15">
      <c r="A2325" s="3">
        <f ca="1">IFERROR(__xludf.DUMMYFUNCTION("""COMPUTED_VALUE"""),43810.6666666666)</f>
        <v>43810.666666666599</v>
      </c>
      <c r="B2325" s="4">
        <f ca="1">IFERROR(__xludf.DUMMYFUNCTION("""COMPUTED_VALUE"""),1345.02)</f>
        <v>1345.02</v>
      </c>
      <c r="C2325" s="5">
        <f t="shared" ca="1" si="0"/>
        <v>2.676898383075481E-4</v>
      </c>
    </row>
    <row r="2326" spans="1:3" ht="13" x14ac:dyDescent="0.15">
      <c r="A2326" s="3">
        <f ca="1">IFERROR(__xludf.DUMMYFUNCTION("""COMPUTED_VALUE"""),43811.6666666666)</f>
        <v>43811.666666666599</v>
      </c>
      <c r="B2326" s="4">
        <f ca="1">IFERROR(__xludf.DUMMYFUNCTION("""COMPUTED_VALUE"""),1350.27)</f>
        <v>1350.27</v>
      </c>
      <c r="C2326" s="5">
        <f t="shared" ca="1" si="0"/>
        <v>3.8956896212818601E-3</v>
      </c>
    </row>
    <row r="2327" spans="1:3" ht="13" x14ac:dyDescent="0.15">
      <c r="A2327" s="3">
        <f ca="1">IFERROR(__xludf.DUMMYFUNCTION("""COMPUTED_VALUE"""),43812.6666666666)</f>
        <v>43812.666666666599</v>
      </c>
      <c r="B2327" s="4">
        <f ca="1">IFERROR(__xludf.DUMMYFUNCTION("""COMPUTED_VALUE"""),1347.83)</f>
        <v>1347.83</v>
      </c>
      <c r="C2327" s="5">
        <f t="shared" ca="1" si="0"/>
        <v>-1.8086806754157281E-3</v>
      </c>
    </row>
    <row r="2328" spans="1:3" ht="13" x14ac:dyDescent="0.15">
      <c r="A2328" s="3">
        <f ca="1">IFERROR(__xludf.DUMMYFUNCTION("""COMPUTED_VALUE"""),43815.6666666666)</f>
        <v>43815.666666666599</v>
      </c>
      <c r="B2328" s="4">
        <f ca="1">IFERROR(__xludf.DUMMYFUNCTION("""COMPUTED_VALUE"""),1361.17)</f>
        <v>1361.17</v>
      </c>
      <c r="C2328" s="5">
        <f t="shared" ca="1" si="0"/>
        <v>9.8487322471340934E-3</v>
      </c>
    </row>
    <row r="2329" spans="1:3" ht="13" x14ac:dyDescent="0.15">
      <c r="A2329" s="3">
        <f ca="1">IFERROR(__xludf.DUMMYFUNCTION("""COMPUTED_VALUE"""),43816.6666666666)</f>
        <v>43816.666666666599</v>
      </c>
      <c r="B2329" s="4">
        <f ca="1">IFERROR(__xludf.DUMMYFUNCTION("""COMPUTED_VALUE"""),1355.12)</f>
        <v>1355.12</v>
      </c>
      <c r="C2329" s="5">
        <f t="shared" ca="1" si="0"/>
        <v>-4.4546127287334479E-3</v>
      </c>
    </row>
    <row r="2330" spans="1:3" ht="13" x14ac:dyDescent="0.15">
      <c r="A2330" s="3">
        <f ca="1">IFERROR(__xludf.DUMMYFUNCTION("""COMPUTED_VALUE"""),43817.6666666666)</f>
        <v>43817.666666666599</v>
      </c>
      <c r="B2330" s="4">
        <f ca="1">IFERROR(__xludf.DUMMYFUNCTION("""COMPUTED_VALUE"""),1352.62)</f>
        <v>1352.62</v>
      </c>
      <c r="C2330" s="5">
        <f t="shared" ca="1" si="0"/>
        <v>-1.8465589091794649E-3</v>
      </c>
    </row>
    <row r="2331" spans="1:3" ht="13" x14ac:dyDescent="0.15">
      <c r="A2331" s="3">
        <f ca="1">IFERROR(__xludf.DUMMYFUNCTION("""COMPUTED_VALUE"""),43818.6666666666)</f>
        <v>43818.666666666599</v>
      </c>
      <c r="B2331" s="4">
        <f ca="1">IFERROR(__xludf.DUMMYFUNCTION("""COMPUTED_VALUE"""),1356.04)</f>
        <v>1356.04</v>
      </c>
      <c r="C2331" s="5">
        <f t="shared" ca="1" si="0"/>
        <v>2.5252352213948324E-3</v>
      </c>
    </row>
    <row r="2332" spans="1:3" ht="13" x14ac:dyDescent="0.15">
      <c r="A2332" s="3">
        <f ca="1">IFERROR(__xludf.DUMMYFUNCTION("""COMPUTED_VALUE"""),43819.6666666666)</f>
        <v>43819.666666666599</v>
      </c>
      <c r="B2332" s="4">
        <f ca="1">IFERROR(__xludf.DUMMYFUNCTION("""COMPUTED_VALUE"""),1349.59)</f>
        <v>1349.59</v>
      </c>
      <c r="C2332" s="5">
        <f t="shared" ca="1" si="0"/>
        <v>-4.7678449888796971E-3</v>
      </c>
    </row>
    <row r="2333" spans="1:3" ht="13" x14ac:dyDescent="0.15">
      <c r="A2333" s="3">
        <f ca="1">IFERROR(__xludf.DUMMYFUNCTION("""COMPUTED_VALUE"""),43822.6666666666)</f>
        <v>43822.666666666599</v>
      </c>
      <c r="B2333" s="4">
        <f ca="1">IFERROR(__xludf.DUMMYFUNCTION("""COMPUTED_VALUE"""),1348.84)</f>
        <v>1348.84</v>
      </c>
      <c r="C2333" s="5">
        <f t="shared" ca="1" si="0"/>
        <v>-5.5587880309115553E-4</v>
      </c>
    </row>
    <row r="2334" spans="1:3" ht="13" x14ac:dyDescent="0.15">
      <c r="A2334" s="3">
        <f ca="1">IFERROR(__xludf.DUMMYFUNCTION("""COMPUTED_VALUE"""),43823.5416666666)</f>
        <v>43823.541666666599</v>
      </c>
      <c r="B2334" s="4">
        <f ca="1">IFERROR(__xludf.DUMMYFUNCTION("""COMPUTED_VALUE"""),1343.56)</f>
        <v>1343.56</v>
      </c>
      <c r="C2334" s="5">
        <f t="shared" ca="1" si="0"/>
        <v>-3.9221562684999293E-3</v>
      </c>
    </row>
    <row r="2335" spans="1:3" ht="13" x14ac:dyDescent="0.15">
      <c r="A2335" s="3">
        <f ca="1">IFERROR(__xludf.DUMMYFUNCTION("""COMPUTED_VALUE"""),43825.6666666666)</f>
        <v>43825.666666666599</v>
      </c>
      <c r="B2335" s="4">
        <f ca="1">IFERROR(__xludf.DUMMYFUNCTION("""COMPUTED_VALUE"""),1360.4)</f>
        <v>1360.4</v>
      </c>
      <c r="C2335" s="5">
        <f t="shared" ca="1" si="0"/>
        <v>1.2455966603169423E-2</v>
      </c>
    </row>
    <row r="2336" spans="1:3" ht="13" x14ac:dyDescent="0.15">
      <c r="A2336" s="3">
        <f ca="1">IFERROR(__xludf.DUMMYFUNCTION("""COMPUTED_VALUE"""),43826.6666666666)</f>
        <v>43826.666666666599</v>
      </c>
      <c r="B2336" s="4">
        <f ca="1">IFERROR(__xludf.DUMMYFUNCTION("""COMPUTED_VALUE"""),1351.89)</f>
        <v>1351.89</v>
      </c>
      <c r="C2336" s="5">
        <f t="shared" ca="1" si="0"/>
        <v>-6.27516078685796E-3</v>
      </c>
    </row>
    <row r="2337" spans="1:3" ht="13" x14ac:dyDescent="0.15">
      <c r="A2337" s="3">
        <f ca="1">IFERROR(__xludf.DUMMYFUNCTION("""COMPUTED_VALUE"""),43829.6666666666)</f>
        <v>43829.666666666599</v>
      </c>
      <c r="B2337" s="4">
        <f ca="1">IFERROR(__xludf.DUMMYFUNCTION("""COMPUTED_VALUE"""),1336.14)</f>
        <v>1336.14</v>
      </c>
      <c r="C2337" s="5">
        <f t="shared" ca="1" si="0"/>
        <v>-1.1718753320562224E-2</v>
      </c>
    </row>
    <row r="2338" spans="1:3" ht="13" x14ac:dyDescent="0.15">
      <c r="A2338" s="3">
        <f ca="1">IFERROR(__xludf.DUMMYFUNCTION("""COMPUTED_VALUE"""),43830.6666666666)</f>
        <v>43830.666666666599</v>
      </c>
      <c r="B2338" s="4">
        <f ca="1">IFERROR(__xludf.DUMMYFUNCTION("""COMPUTED_VALUE"""),1337.02)</f>
        <v>1337.02</v>
      </c>
      <c r="C2338" s="5">
        <f t="shared" ca="1" si="0"/>
        <v>6.5839682756652161E-4</v>
      </c>
    </row>
    <row r="2339" spans="1:3" ht="13" x14ac:dyDescent="0.15">
      <c r="A2339" s="3">
        <f ca="1">IFERROR(__xludf.DUMMYFUNCTION("""COMPUTED_VALUE"""),43832.6666666666)</f>
        <v>43832.666666666599</v>
      </c>
      <c r="B2339" s="4">
        <f ca="1">IFERROR(__xludf.DUMMYFUNCTION("""COMPUTED_VALUE"""),1367.37)</f>
        <v>1367.37</v>
      </c>
      <c r="C2339" s="5">
        <f t="shared" ca="1" si="0"/>
        <v>2.2445929938707501E-2</v>
      </c>
    </row>
    <row r="2340" spans="1:3" ht="13" x14ac:dyDescent="0.15">
      <c r="A2340" s="3">
        <f ca="1">IFERROR(__xludf.DUMMYFUNCTION("""COMPUTED_VALUE"""),43833.6666666666)</f>
        <v>43833.666666666599</v>
      </c>
      <c r="B2340" s="4">
        <f ca="1">IFERROR(__xludf.DUMMYFUNCTION("""COMPUTED_VALUE"""),1360.66)</f>
        <v>1360.66</v>
      </c>
      <c r="C2340" s="5">
        <f t="shared" ca="1" si="0"/>
        <v>-4.9193106612565171E-3</v>
      </c>
    </row>
    <row r="2341" spans="1:3" ht="13" x14ac:dyDescent="0.15">
      <c r="A2341" s="3">
        <f ca="1">IFERROR(__xludf.DUMMYFUNCTION("""COMPUTED_VALUE"""),43836.6666666666)</f>
        <v>43836.666666666599</v>
      </c>
      <c r="B2341" s="4">
        <f ca="1">IFERROR(__xludf.DUMMYFUNCTION("""COMPUTED_VALUE"""),1394.21)</f>
        <v>1394.21</v>
      </c>
      <c r="C2341" s="5">
        <f t="shared" ca="1" si="0"/>
        <v>2.4358070468022002E-2</v>
      </c>
    </row>
    <row r="2342" spans="1:3" ht="13" x14ac:dyDescent="0.15">
      <c r="A2342" s="3">
        <f ca="1">IFERROR(__xludf.DUMMYFUNCTION("""COMPUTED_VALUE"""),43837.6666666666)</f>
        <v>43837.666666666599</v>
      </c>
      <c r="B2342" s="4">
        <f ca="1">IFERROR(__xludf.DUMMYFUNCTION("""COMPUTED_VALUE"""),1393.34)</f>
        <v>1393.34</v>
      </c>
      <c r="C2342" s="5">
        <f t="shared" ca="1" si="0"/>
        <v>-6.2420407041905519E-4</v>
      </c>
    </row>
    <row r="2343" spans="1:3" ht="13" x14ac:dyDescent="0.15">
      <c r="A2343" s="3">
        <f ca="1">IFERROR(__xludf.DUMMYFUNCTION("""COMPUTED_VALUE"""),43838.6666666666)</f>
        <v>43838.666666666599</v>
      </c>
      <c r="B2343" s="4">
        <f ca="1">IFERROR(__xludf.DUMMYFUNCTION("""COMPUTED_VALUE"""),1404.32)</f>
        <v>1404.32</v>
      </c>
      <c r="C2343" s="5">
        <f t="shared" ca="1" si="0"/>
        <v>7.8494573155665128E-3</v>
      </c>
    </row>
    <row r="2344" spans="1:3" ht="13" x14ac:dyDescent="0.15">
      <c r="A2344" s="3">
        <f ca="1">IFERROR(__xludf.DUMMYFUNCTION("""COMPUTED_VALUE"""),43839.6666666666)</f>
        <v>43839.666666666599</v>
      </c>
      <c r="B2344" s="4">
        <f ca="1">IFERROR(__xludf.DUMMYFUNCTION("""COMPUTED_VALUE"""),1419.83)</f>
        <v>1419.83</v>
      </c>
      <c r="C2344" s="5">
        <f t="shared" ca="1" si="0"/>
        <v>1.0983946274830826E-2</v>
      </c>
    </row>
    <row r="2345" spans="1:3" ht="13" x14ac:dyDescent="0.15">
      <c r="A2345" s="3">
        <f ca="1">IFERROR(__xludf.DUMMYFUNCTION("""COMPUTED_VALUE"""),43840.6666666666)</f>
        <v>43840.666666666599</v>
      </c>
      <c r="B2345" s="4">
        <f ca="1">IFERROR(__xludf.DUMMYFUNCTION("""COMPUTED_VALUE"""),1429.73)</f>
        <v>1429.73</v>
      </c>
      <c r="C2345" s="5">
        <f t="shared" ca="1" si="0"/>
        <v>6.9484691194268882E-3</v>
      </c>
    </row>
    <row r="2346" spans="1:3" ht="13" x14ac:dyDescent="0.15">
      <c r="A2346" s="3">
        <f ca="1">IFERROR(__xludf.DUMMYFUNCTION("""COMPUTED_VALUE"""),43843.6666666666)</f>
        <v>43843.666666666599</v>
      </c>
      <c r="B2346" s="4">
        <f ca="1">IFERROR(__xludf.DUMMYFUNCTION("""COMPUTED_VALUE"""),1439.23)</f>
        <v>1439.23</v>
      </c>
      <c r="C2346" s="5">
        <f t="shared" ca="1" si="0"/>
        <v>6.6226330948468198E-3</v>
      </c>
    </row>
    <row r="2347" spans="1:3" ht="13" x14ac:dyDescent="0.15">
      <c r="A2347" s="3">
        <f ca="1">IFERROR(__xludf.DUMMYFUNCTION("""COMPUTED_VALUE"""),43844.6666666666)</f>
        <v>43844.666666666599</v>
      </c>
      <c r="B2347" s="4">
        <f ca="1">IFERROR(__xludf.DUMMYFUNCTION("""COMPUTED_VALUE"""),1430.88)</f>
        <v>1430.88</v>
      </c>
      <c r="C2347" s="5">
        <f t="shared" ca="1" si="0"/>
        <v>-5.818608735041063E-3</v>
      </c>
    </row>
    <row r="2348" spans="1:3" ht="13" x14ac:dyDescent="0.15">
      <c r="A2348" s="3">
        <f ca="1">IFERROR(__xludf.DUMMYFUNCTION("""COMPUTED_VALUE"""),43845.6666666666)</f>
        <v>43845.666666666599</v>
      </c>
      <c r="B2348" s="4">
        <f ca="1">IFERROR(__xludf.DUMMYFUNCTION("""COMPUTED_VALUE"""),1439.2)</f>
        <v>1439.2</v>
      </c>
      <c r="C2348" s="5">
        <f t="shared" ca="1" si="0"/>
        <v>5.7977640384523849E-3</v>
      </c>
    </row>
    <row r="2349" spans="1:3" ht="13" x14ac:dyDescent="0.15">
      <c r="A2349" s="3">
        <f ca="1">IFERROR(__xludf.DUMMYFUNCTION("""COMPUTED_VALUE"""),43846.6666666666)</f>
        <v>43846.666666666599</v>
      </c>
      <c r="B2349" s="4">
        <f ca="1">IFERROR(__xludf.DUMMYFUNCTION("""COMPUTED_VALUE"""),1451.7)</f>
        <v>1451.7</v>
      </c>
      <c r="C2349" s="5">
        <f t="shared" ca="1" si="0"/>
        <v>8.6478798310591822E-3</v>
      </c>
    </row>
    <row r="2350" spans="1:3" ht="13" x14ac:dyDescent="0.15">
      <c r="A2350" s="3">
        <f ca="1">IFERROR(__xludf.DUMMYFUNCTION("""COMPUTED_VALUE"""),43847.6666666666)</f>
        <v>43847.666666666599</v>
      </c>
      <c r="B2350" s="4">
        <f ca="1">IFERROR(__xludf.DUMMYFUNCTION("""COMPUTED_VALUE"""),1480.39)</f>
        <v>1480.39</v>
      </c>
      <c r="C2350" s="5">
        <f t="shared" ca="1" si="0"/>
        <v>1.9570283090704028E-2</v>
      </c>
    </row>
    <row r="2351" spans="1:3" ht="13" x14ac:dyDescent="0.15">
      <c r="A2351" s="3">
        <f ca="1">IFERROR(__xludf.DUMMYFUNCTION("""COMPUTED_VALUE"""),43851.6666666666)</f>
        <v>43851.666666666599</v>
      </c>
      <c r="B2351" s="4">
        <f ca="1">IFERROR(__xludf.DUMMYFUNCTION("""COMPUTED_VALUE"""),1484.4)</f>
        <v>1484.4</v>
      </c>
      <c r="C2351" s="5">
        <f t="shared" ca="1" si="0"/>
        <v>2.7050836283559997E-3</v>
      </c>
    </row>
    <row r="2352" spans="1:3" ht="13" x14ac:dyDescent="0.15">
      <c r="A2352" s="3">
        <f ca="1">IFERROR(__xludf.DUMMYFUNCTION("""COMPUTED_VALUE"""),43852.6666666666)</f>
        <v>43852.666666666599</v>
      </c>
      <c r="B2352" s="4">
        <f ca="1">IFERROR(__xludf.DUMMYFUNCTION("""COMPUTED_VALUE"""),1485.95)</f>
        <v>1485.95</v>
      </c>
      <c r="C2352" s="5">
        <f t="shared" ca="1" si="0"/>
        <v>1.0436481496715374E-3</v>
      </c>
    </row>
    <row r="2353" spans="1:3" ht="13" x14ac:dyDescent="0.15">
      <c r="A2353" s="3">
        <f ca="1">IFERROR(__xludf.DUMMYFUNCTION("""COMPUTED_VALUE"""),43853.6666666666)</f>
        <v>43853.666666666599</v>
      </c>
      <c r="B2353" s="4">
        <f ca="1">IFERROR(__xludf.DUMMYFUNCTION("""COMPUTED_VALUE"""),1486.65)</f>
        <v>1486.65</v>
      </c>
      <c r="C2353" s="5">
        <f t="shared" ca="1" si="0"/>
        <v>4.7096818471311275E-4</v>
      </c>
    </row>
    <row r="2354" spans="1:3" ht="13" x14ac:dyDescent="0.15">
      <c r="A2354" s="3">
        <f ca="1">IFERROR(__xludf.DUMMYFUNCTION("""COMPUTED_VALUE"""),43854.6666666666)</f>
        <v>43854.666666666599</v>
      </c>
      <c r="B2354" s="4">
        <f ca="1">IFERROR(__xludf.DUMMYFUNCTION("""COMPUTED_VALUE"""),1466.71)</f>
        <v>1466.71</v>
      </c>
      <c r="C2354" s="5">
        <f t="shared" ca="1" si="0"/>
        <v>-1.3503469264497294E-2</v>
      </c>
    </row>
    <row r="2355" spans="1:3" ht="13" x14ac:dyDescent="0.15">
      <c r="A2355" s="3">
        <f ca="1">IFERROR(__xludf.DUMMYFUNCTION("""COMPUTED_VALUE"""),43857.6666666666)</f>
        <v>43857.666666666599</v>
      </c>
      <c r="B2355" s="4">
        <f ca="1">IFERROR(__xludf.DUMMYFUNCTION("""COMPUTED_VALUE"""),1433.9)</f>
        <v>1433.9</v>
      </c>
      <c r="C2355" s="5">
        <f t="shared" ca="1" si="0"/>
        <v>-2.2623792535336366E-2</v>
      </c>
    </row>
    <row r="2356" spans="1:3" ht="13" x14ac:dyDescent="0.15">
      <c r="A2356" s="3">
        <f ca="1">IFERROR(__xludf.DUMMYFUNCTION("""COMPUTED_VALUE"""),43858.6666666666)</f>
        <v>43858.666666666599</v>
      </c>
      <c r="B2356" s="4">
        <f ca="1">IFERROR(__xludf.DUMMYFUNCTION("""COMPUTED_VALUE"""),1452.56)</f>
        <v>1452.56</v>
      </c>
      <c r="C2356" s="5">
        <f t="shared" ca="1" si="0"/>
        <v>1.2929512241417928E-2</v>
      </c>
    </row>
    <row r="2357" spans="1:3" ht="13" x14ac:dyDescent="0.15">
      <c r="A2357" s="3">
        <f ca="1">IFERROR(__xludf.DUMMYFUNCTION("""COMPUTED_VALUE"""),43859.6666666666)</f>
        <v>43859.666666666599</v>
      </c>
      <c r="B2357" s="4">
        <f ca="1">IFERROR(__xludf.DUMMYFUNCTION("""COMPUTED_VALUE"""),1458.63)</f>
        <v>1458.63</v>
      </c>
      <c r="C2357" s="5">
        <f t="shared" ca="1" si="0"/>
        <v>4.1701220438361769E-3</v>
      </c>
    </row>
    <row r="2358" spans="1:3" ht="13" x14ac:dyDescent="0.15">
      <c r="A2358" s="3">
        <f ca="1">IFERROR(__xludf.DUMMYFUNCTION("""COMPUTED_VALUE"""),43860.6666666666)</f>
        <v>43860.666666666599</v>
      </c>
      <c r="B2358" s="4">
        <f ca="1">IFERROR(__xludf.DUMMYFUNCTION("""COMPUTED_VALUE"""),1455.84)</f>
        <v>1455.84</v>
      </c>
      <c r="C2358" s="5">
        <f t="shared" ca="1" si="0"/>
        <v>-1.9145853978671087E-3</v>
      </c>
    </row>
    <row r="2359" spans="1:3" ht="13" x14ac:dyDescent="0.15">
      <c r="A2359" s="3">
        <f ca="1">IFERROR(__xludf.DUMMYFUNCTION("""COMPUTED_VALUE"""),43861.6666666666)</f>
        <v>43861.666666666599</v>
      </c>
      <c r="B2359" s="4">
        <f ca="1">IFERROR(__xludf.DUMMYFUNCTION("""COMPUTED_VALUE"""),1434.23)</f>
        <v>1434.23</v>
      </c>
      <c r="C2359" s="5">
        <f t="shared" ca="1" si="0"/>
        <v>-1.4954933793959457E-2</v>
      </c>
    </row>
    <row r="2360" spans="1:3" ht="13" x14ac:dyDescent="0.15">
      <c r="A2360" s="3">
        <f ca="1">IFERROR(__xludf.DUMMYFUNCTION("""COMPUTED_VALUE"""),43864.6666666666)</f>
        <v>43864.666666666599</v>
      </c>
      <c r="B2360" s="4">
        <f ca="1">IFERROR(__xludf.DUMMYFUNCTION("""COMPUTED_VALUE"""),1485.94)</f>
        <v>1485.94</v>
      </c>
      <c r="C2360" s="5">
        <f t="shared" ca="1" si="0"/>
        <v>3.5419448797510876E-2</v>
      </c>
    </row>
    <row r="2361" spans="1:3" ht="13" x14ac:dyDescent="0.15">
      <c r="A2361" s="3">
        <f ca="1">IFERROR(__xludf.DUMMYFUNCTION("""COMPUTED_VALUE"""),43865.6666666666)</f>
        <v>43865.666666666599</v>
      </c>
      <c r="B2361" s="4">
        <f ca="1">IFERROR(__xludf.DUMMYFUNCTION("""COMPUTED_VALUE"""),1447.07)</f>
        <v>1447.07</v>
      </c>
      <c r="C2361" s="5">
        <f t="shared" ca="1" si="0"/>
        <v>-2.6506746200284738E-2</v>
      </c>
    </row>
    <row r="2362" spans="1:3" ht="13" x14ac:dyDescent="0.15">
      <c r="A2362" s="3">
        <f ca="1">IFERROR(__xludf.DUMMYFUNCTION("""COMPUTED_VALUE"""),43866.6666666666)</f>
        <v>43866.666666666599</v>
      </c>
      <c r="B2362" s="4">
        <f ca="1">IFERROR(__xludf.DUMMYFUNCTION("""COMPUTED_VALUE"""),1448.23)</f>
        <v>1448.23</v>
      </c>
      <c r="C2362" s="5">
        <f t="shared" ca="1" si="0"/>
        <v>8.012986993181522E-4</v>
      </c>
    </row>
    <row r="2363" spans="1:3" ht="13" x14ac:dyDescent="0.15">
      <c r="A2363" s="3">
        <f ca="1">IFERROR(__xludf.DUMMYFUNCTION("""COMPUTED_VALUE"""),43867.6666666666)</f>
        <v>43867.666666666599</v>
      </c>
      <c r="B2363" s="4">
        <f ca="1">IFERROR(__xludf.DUMMYFUNCTION("""COMPUTED_VALUE"""),1476.23)</f>
        <v>1476.23</v>
      </c>
      <c r="C2363" s="5">
        <f t="shared" ca="1" si="0"/>
        <v>1.9149419468021248E-2</v>
      </c>
    </row>
    <row r="2364" spans="1:3" ht="13" x14ac:dyDescent="0.15">
      <c r="A2364" s="3">
        <f ca="1">IFERROR(__xludf.DUMMYFUNCTION("""COMPUTED_VALUE"""),43868.6666666666)</f>
        <v>43868.666666666599</v>
      </c>
      <c r="B2364" s="4">
        <f ca="1">IFERROR(__xludf.DUMMYFUNCTION("""COMPUTED_VALUE"""),1479.23)</f>
        <v>1479.23</v>
      </c>
      <c r="C2364" s="5">
        <f t="shared" ca="1" si="0"/>
        <v>2.0301415213663208E-3</v>
      </c>
    </row>
    <row r="2365" spans="1:3" ht="13" x14ac:dyDescent="0.15">
      <c r="A2365" s="3">
        <f ca="1">IFERROR(__xludf.DUMMYFUNCTION("""COMPUTED_VALUE"""),43871.6666666666)</f>
        <v>43871.666666666599</v>
      </c>
      <c r="B2365" s="4">
        <f ca="1">IFERROR(__xludf.DUMMYFUNCTION("""COMPUTED_VALUE"""),1508.68)</f>
        <v>1508.68</v>
      </c>
      <c r="C2365" s="5">
        <f t="shared" ca="1" si="0"/>
        <v>1.9713414211861971E-2</v>
      </c>
    </row>
    <row r="2366" spans="1:3" ht="13" x14ac:dyDescent="0.15">
      <c r="A2366" s="3">
        <f ca="1">IFERROR(__xludf.DUMMYFUNCTION("""COMPUTED_VALUE"""),43872.6666666666)</f>
        <v>43872.666666666599</v>
      </c>
      <c r="B2366" s="4">
        <f ca="1">IFERROR(__xludf.DUMMYFUNCTION("""COMPUTED_VALUE"""),1508.79)</f>
        <v>1508.79</v>
      </c>
      <c r="C2366" s="5">
        <f t="shared" ca="1" si="0"/>
        <v>7.2908761345583177E-5</v>
      </c>
    </row>
    <row r="2367" spans="1:3" ht="13" x14ac:dyDescent="0.15">
      <c r="A2367" s="3">
        <f ca="1">IFERROR(__xludf.DUMMYFUNCTION("""COMPUTED_VALUE"""),43873.6666666666)</f>
        <v>43873.666666666599</v>
      </c>
      <c r="B2367" s="4">
        <f ca="1">IFERROR(__xludf.DUMMYFUNCTION("""COMPUTED_VALUE"""),1518.27)</f>
        <v>1518.27</v>
      </c>
      <c r="C2367" s="5">
        <f t="shared" ca="1" si="0"/>
        <v>6.2635236784507548E-3</v>
      </c>
    </row>
    <row r="2368" spans="1:3" ht="13" x14ac:dyDescent="0.15">
      <c r="A2368" s="3">
        <f ca="1">IFERROR(__xludf.DUMMYFUNCTION("""COMPUTED_VALUE"""),43874.6666666666)</f>
        <v>43874.666666666599</v>
      </c>
      <c r="B2368" s="4">
        <f ca="1">IFERROR(__xludf.DUMMYFUNCTION("""COMPUTED_VALUE"""),1514.66)</f>
        <v>1514.66</v>
      </c>
      <c r="C2368" s="5">
        <f t="shared" ca="1" si="0"/>
        <v>-2.3805374372700382E-3</v>
      </c>
    </row>
    <row r="2369" spans="1:3" ht="13" x14ac:dyDescent="0.15">
      <c r="A2369" s="3">
        <f ca="1">IFERROR(__xludf.DUMMYFUNCTION("""COMPUTED_VALUE"""),43875.6666666666)</f>
        <v>43875.666666666599</v>
      </c>
      <c r="B2369" s="4">
        <f ca="1">IFERROR(__xludf.DUMMYFUNCTION("""COMPUTED_VALUE"""),1520.74)</f>
        <v>1520.74</v>
      </c>
      <c r="C2369" s="5">
        <f t="shared" ca="1" si="0"/>
        <v>4.0060671616758336E-3</v>
      </c>
    </row>
    <row r="2370" spans="1:3" ht="13" x14ac:dyDescent="0.15">
      <c r="A2370" s="3">
        <f ca="1">IFERROR(__xludf.DUMMYFUNCTION("""COMPUTED_VALUE"""),43879.6666666666)</f>
        <v>43879.666666666599</v>
      </c>
      <c r="B2370" s="4">
        <f ca="1">IFERROR(__xludf.DUMMYFUNCTION("""COMPUTED_VALUE"""),1519.67)</f>
        <v>1519.67</v>
      </c>
      <c r="C2370" s="5">
        <f t="shared" ca="1" si="0"/>
        <v>-7.0385247001152171E-4</v>
      </c>
    </row>
    <row r="2371" spans="1:3" ht="13" x14ac:dyDescent="0.15">
      <c r="A2371" s="3">
        <f ca="1">IFERROR(__xludf.DUMMYFUNCTION("""COMPUTED_VALUE"""),43880.6666666666)</f>
        <v>43880.666666666599</v>
      </c>
      <c r="B2371" s="4">
        <f ca="1">IFERROR(__xludf.DUMMYFUNCTION("""COMPUTED_VALUE"""),1526.69)</f>
        <v>1526.69</v>
      </c>
      <c r="C2371" s="5">
        <f t="shared" ca="1" si="0"/>
        <v>4.6087871597141521E-3</v>
      </c>
    </row>
    <row r="2372" spans="1:3" ht="13" x14ac:dyDescent="0.15">
      <c r="A2372" s="3">
        <f ca="1">IFERROR(__xludf.DUMMYFUNCTION("""COMPUTED_VALUE"""),43881.6666666666)</f>
        <v>43881.666666666599</v>
      </c>
      <c r="B2372" s="4">
        <f ca="1">IFERROR(__xludf.DUMMYFUNCTION("""COMPUTED_VALUE"""),1518.15)</f>
        <v>1518.15</v>
      </c>
      <c r="C2372" s="5">
        <f t="shared" ca="1" si="0"/>
        <v>-5.6095048630990779E-3</v>
      </c>
    </row>
    <row r="2373" spans="1:3" ht="13" x14ac:dyDescent="0.15">
      <c r="A2373" s="3">
        <f ca="1">IFERROR(__xludf.DUMMYFUNCTION("""COMPUTED_VALUE"""),43882.6666666666)</f>
        <v>43882.666666666599</v>
      </c>
      <c r="B2373" s="4">
        <f ca="1">IFERROR(__xludf.DUMMYFUNCTION("""COMPUTED_VALUE"""),1485.11)</f>
        <v>1485.11</v>
      </c>
      <c r="C2373" s="5">
        <f t="shared" ca="1" si="0"/>
        <v>-2.2003644735494751E-2</v>
      </c>
    </row>
    <row r="2374" spans="1:3" ht="13" x14ac:dyDescent="0.15">
      <c r="A2374" s="3">
        <f ca="1">IFERROR(__xludf.DUMMYFUNCTION("""COMPUTED_VALUE"""),43885.6666666666)</f>
        <v>43885.666666666599</v>
      </c>
      <c r="B2374" s="4">
        <f ca="1">IFERROR(__xludf.DUMMYFUNCTION("""COMPUTED_VALUE"""),1421.59)</f>
        <v>1421.59</v>
      </c>
      <c r="C2374" s="5">
        <f t="shared" ca="1" si="0"/>
        <v>-4.3712880079343014E-2</v>
      </c>
    </row>
    <row r="2375" spans="1:3" ht="13" x14ac:dyDescent="0.15">
      <c r="A2375" s="3">
        <f ca="1">IFERROR(__xludf.DUMMYFUNCTION("""COMPUTED_VALUE"""),43886.6666666666)</f>
        <v>43886.666666666599</v>
      </c>
      <c r="B2375" s="4">
        <f ca="1">IFERROR(__xludf.DUMMYFUNCTION("""COMPUTED_VALUE"""),1388.45)</f>
        <v>1388.45</v>
      </c>
      <c r="C2375" s="5">
        <f t="shared" ca="1" si="0"/>
        <v>-2.358794647252975E-2</v>
      </c>
    </row>
    <row r="2376" spans="1:3" ht="13" x14ac:dyDescent="0.15">
      <c r="A2376" s="3">
        <f ca="1">IFERROR(__xludf.DUMMYFUNCTION("""COMPUTED_VALUE"""),43887.6666666666)</f>
        <v>43887.666666666599</v>
      </c>
      <c r="B2376" s="4">
        <f ca="1">IFERROR(__xludf.DUMMYFUNCTION("""COMPUTED_VALUE"""),1393.18)</f>
        <v>1393.18</v>
      </c>
      <c r="C2376" s="5">
        <f t="shared" ca="1" si="0"/>
        <v>3.4008869324413356E-3</v>
      </c>
    </row>
    <row r="2377" spans="1:3" ht="13" x14ac:dyDescent="0.15">
      <c r="A2377" s="3">
        <f ca="1">IFERROR(__xludf.DUMMYFUNCTION("""COMPUTED_VALUE"""),43888.6666666666)</f>
        <v>43888.666666666599</v>
      </c>
      <c r="B2377" s="4">
        <f ca="1">IFERROR(__xludf.DUMMYFUNCTION("""COMPUTED_VALUE"""),1318.09)</f>
        <v>1318.09</v>
      </c>
      <c r="C2377" s="5">
        <f t="shared" ca="1" si="0"/>
        <v>-5.5405184936246611E-2</v>
      </c>
    </row>
    <row r="2378" spans="1:3" ht="13" x14ac:dyDescent="0.15">
      <c r="A2378" s="3">
        <f ca="1">IFERROR(__xludf.DUMMYFUNCTION("""COMPUTED_VALUE"""),43889.6666666666)</f>
        <v>43889.666666666599</v>
      </c>
      <c r="B2378" s="4">
        <f ca="1">IFERROR(__xludf.DUMMYFUNCTION("""COMPUTED_VALUE"""),1339.33)</f>
        <v>1339.33</v>
      </c>
      <c r="C2378" s="5">
        <f t="shared" ca="1" si="0"/>
        <v>1.5985769891427609E-2</v>
      </c>
    </row>
    <row r="2379" spans="1:3" ht="13" x14ac:dyDescent="0.15">
      <c r="A2379" s="3">
        <f ca="1">IFERROR(__xludf.DUMMYFUNCTION("""COMPUTED_VALUE"""),43892.6666666666)</f>
        <v>43892.666666666599</v>
      </c>
      <c r="B2379" s="4">
        <f ca="1">IFERROR(__xludf.DUMMYFUNCTION("""COMPUTED_VALUE"""),1389.11)</f>
        <v>1389.11</v>
      </c>
      <c r="C2379" s="5">
        <f t="shared" ca="1" si="0"/>
        <v>3.6493765379923077E-2</v>
      </c>
    </row>
    <row r="2380" spans="1:3" ht="13" x14ac:dyDescent="0.15">
      <c r="A2380" s="3">
        <f ca="1">IFERROR(__xludf.DUMMYFUNCTION("""COMPUTED_VALUE"""),43893.6666666666)</f>
        <v>43893.666666666599</v>
      </c>
      <c r="B2380" s="4">
        <f ca="1">IFERROR(__xludf.DUMMYFUNCTION("""COMPUTED_VALUE"""),1341.39)</f>
        <v>1341.39</v>
      </c>
      <c r="C2380" s="5">
        <f t="shared" ca="1" si="0"/>
        <v>-3.4956864543216712E-2</v>
      </c>
    </row>
    <row r="2381" spans="1:3" ht="13" x14ac:dyDescent="0.15">
      <c r="A2381" s="3">
        <f ca="1">IFERROR(__xludf.DUMMYFUNCTION("""COMPUTED_VALUE"""),43894.6666666666)</f>
        <v>43894.666666666599</v>
      </c>
      <c r="B2381" s="4">
        <f ca="1">IFERROR(__xludf.DUMMYFUNCTION("""COMPUTED_VALUE"""),1386.52)</f>
        <v>1386.52</v>
      </c>
      <c r="C2381" s="5">
        <f t="shared" ca="1" si="0"/>
        <v>3.309062102248931E-2</v>
      </c>
    </row>
    <row r="2382" spans="1:3" ht="13" x14ac:dyDescent="0.15">
      <c r="A2382" s="3">
        <f ca="1">IFERROR(__xludf.DUMMYFUNCTION("""COMPUTED_VALUE"""),43895.6666666666)</f>
        <v>43895.666666666599</v>
      </c>
      <c r="B2382" s="4">
        <f ca="1">IFERROR(__xludf.DUMMYFUNCTION("""COMPUTED_VALUE"""),1319.04)</f>
        <v>1319.04</v>
      </c>
      <c r="C2382" s="5">
        <f t="shared" ca="1" si="0"/>
        <v>-4.989281150043097E-2</v>
      </c>
    </row>
    <row r="2383" spans="1:3" ht="13" x14ac:dyDescent="0.15">
      <c r="A2383" s="3">
        <f ca="1">IFERROR(__xludf.DUMMYFUNCTION("""COMPUTED_VALUE"""),43896.6666666666)</f>
        <v>43896.666666666599</v>
      </c>
      <c r="B2383" s="4">
        <f ca="1">IFERROR(__xludf.DUMMYFUNCTION("""COMPUTED_VALUE"""),1298.41)</f>
        <v>1298.4100000000001</v>
      </c>
      <c r="C2383" s="5">
        <f t="shared" ca="1" si="0"/>
        <v>-1.5763760304502047E-2</v>
      </c>
    </row>
    <row r="2384" spans="1:3" ht="13" x14ac:dyDescent="0.15">
      <c r="A2384" s="3">
        <f ca="1">IFERROR(__xludf.DUMMYFUNCTION("""COMPUTED_VALUE"""),43899.6666666666)</f>
        <v>43899.666666666599</v>
      </c>
      <c r="B2384" s="4">
        <f ca="1">IFERROR(__xludf.DUMMYFUNCTION("""COMPUTED_VALUE"""),1215.56)</f>
        <v>1215.56</v>
      </c>
      <c r="C2384" s="5">
        <f t="shared" ca="1" si="0"/>
        <v>-6.5935563017339174E-2</v>
      </c>
    </row>
    <row r="2385" spans="1:3" ht="13" x14ac:dyDescent="0.15">
      <c r="A2385" s="3">
        <f ca="1">IFERROR(__xludf.DUMMYFUNCTION("""COMPUTED_VALUE"""),43900.6666666666)</f>
        <v>43900.666666666599</v>
      </c>
      <c r="B2385" s="4">
        <f ca="1">IFERROR(__xludf.DUMMYFUNCTION("""COMPUTED_VALUE"""),1280.39)</f>
        <v>1280.3900000000001</v>
      </c>
      <c r="C2385" s="5">
        <f t="shared" ca="1" si="0"/>
        <v>5.1959843065654723E-2</v>
      </c>
    </row>
    <row r="2386" spans="1:3" ht="13" x14ac:dyDescent="0.15">
      <c r="A2386" s="3">
        <f ca="1">IFERROR(__xludf.DUMMYFUNCTION("""COMPUTED_VALUE"""),43901.6666666666)</f>
        <v>43901.666666666599</v>
      </c>
      <c r="B2386" s="4">
        <f ca="1">IFERROR(__xludf.DUMMYFUNCTION("""COMPUTED_VALUE"""),1215.41)</f>
        <v>1215.4100000000001</v>
      </c>
      <c r="C2386" s="5">
        <f t="shared" ca="1" si="0"/>
        <v>-5.2083250594493154E-2</v>
      </c>
    </row>
    <row r="2387" spans="1:3" ht="13" x14ac:dyDescent="0.15">
      <c r="A2387" s="3">
        <f ca="1">IFERROR(__xludf.DUMMYFUNCTION("""COMPUTED_VALUE"""),43902.6666666666)</f>
        <v>43902.666666666599</v>
      </c>
      <c r="B2387" s="4">
        <f ca="1">IFERROR(__xludf.DUMMYFUNCTION("""COMPUTED_VALUE"""),1114.91)</f>
        <v>1114.9100000000001</v>
      </c>
      <c r="C2387" s="5">
        <f t="shared" ca="1" si="0"/>
        <v>-8.6307784263761678E-2</v>
      </c>
    </row>
    <row r="2388" spans="1:3" ht="13" x14ac:dyDescent="0.15">
      <c r="A2388" s="3">
        <f ca="1">IFERROR(__xludf.DUMMYFUNCTION("""COMPUTED_VALUE"""),43903.6666666666)</f>
        <v>43903.666666666599</v>
      </c>
      <c r="B2388" s="4">
        <f ca="1">IFERROR(__xludf.DUMMYFUNCTION("""COMPUTED_VALUE"""),1219.73)</f>
        <v>1219.73</v>
      </c>
      <c r="C2388" s="5">
        <f t="shared" ca="1" si="0"/>
        <v>8.9855838611295827E-2</v>
      </c>
    </row>
    <row r="2389" spans="1:3" ht="13" x14ac:dyDescent="0.15">
      <c r="A2389" s="3">
        <f ca="1">IFERROR(__xludf.DUMMYFUNCTION("""COMPUTED_VALUE"""),43906.6666666666)</f>
        <v>43906.666666666599</v>
      </c>
      <c r="B2389" s="4">
        <f ca="1">IFERROR(__xludf.DUMMYFUNCTION("""COMPUTED_VALUE"""),1084.33)</f>
        <v>1084.33</v>
      </c>
      <c r="C2389" s="5">
        <f t="shared" ca="1" si="0"/>
        <v>-0.117667238043837</v>
      </c>
    </row>
    <row r="2390" spans="1:3" ht="13" x14ac:dyDescent="0.15">
      <c r="A2390" s="3">
        <f ca="1">IFERROR(__xludf.DUMMYFUNCTION("""COMPUTED_VALUE"""),43907.6666666666)</f>
        <v>43907.666666666599</v>
      </c>
      <c r="B2390" s="4">
        <f ca="1">IFERROR(__xludf.DUMMYFUNCTION("""COMPUTED_VALUE"""),1119.8)</f>
        <v>1119.8</v>
      </c>
      <c r="C2390" s="5">
        <f t="shared" ca="1" si="0"/>
        <v>3.2187813199735724E-2</v>
      </c>
    </row>
    <row r="2391" spans="1:3" ht="13" x14ac:dyDescent="0.15">
      <c r="A2391" s="3">
        <f ca="1">IFERROR(__xludf.DUMMYFUNCTION("""COMPUTED_VALUE"""),43908.6666666666)</f>
        <v>43908.666666666599</v>
      </c>
      <c r="B2391" s="4">
        <f ca="1">IFERROR(__xludf.DUMMYFUNCTION("""COMPUTED_VALUE"""),1096.8)</f>
        <v>1096.8</v>
      </c>
      <c r="C2391" s="5">
        <f t="shared" ca="1" si="0"/>
        <v>-2.07532486666883E-2</v>
      </c>
    </row>
    <row r="2392" spans="1:3" ht="13" x14ac:dyDescent="0.15">
      <c r="A2392" s="3">
        <f ca="1">IFERROR(__xludf.DUMMYFUNCTION("""COMPUTED_VALUE"""),43909.6666666666)</f>
        <v>43909.666666666599</v>
      </c>
      <c r="B2392" s="4">
        <f ca="1">IFERROR(__xludf.DUMMYFUNCTION("""COMPUTED_VALUE"""),1115.29)</f>
        <v>1115.29</v>
      </c>
      <c r="C2392" s="5">
        <f t="shared" ca="1" si="0"/>
        <v>1.6717611514754305E-2</v>
      </c>
    </row>
    <row r="2393" spans="1:3" ht="13" x14ac:dyDescent="0.15">
      <c r="A2393" s="3">
        <f ca="1">IFERROR(__xludf.DUMMYFUNCTION("""COMPUTED_VALUE"""),43910.6666666666)</f>
        <v>43910.666666666599</v>
      </c>
      <c r="B2393" s="4">
        <f ca="1">IFERROR(__xludf.DUMMYFUNCTION("""COMPUTED_VALUE"""),1072.32)</f>
        <v>1072.32</v>
      </c>
      <c r="C2393" s="5">
        <f t="shared" ca="1" si="0"/>
        <v>-3.9289935213913413E-2</v>
      </c>
    </row>
    <row r="2394" spans="1:3" ht="13" x14ac:dyDescent="0.15">
      <c r="A2394" s="3">
        <f ca="1">IFERROR(__xludf.DUMMYFUNCTION("""COMPUTED_VALUE"""),43913.6666666666)</f>
        <v>43913.666666666599</v>
      </c>
      <c r="B2394" s="4">
        <f ca="1">IFERROR(__xludf.DUMMYFUNCTION("""COMPUTED_VALUE"""),1056.62)</f>
        <v>1056.6199999999999</v>
      </c>
      <c r="C2394" s="5">
        <f t="shared" ca="1" si="0"/>
        <v>-1.4749391358843705E-2</v>
      </c>
    </row>
    <row r="2395" spans="1:3" ht="13" x14ac:dyDescent="0.15">
      <c r="A2395" s="3">
        <f ca="1">IFERROR(__xludf.DUMMYFUNCTION("""COMPUTED_VALUE"""),43914.6666666666)</f>
        <v>43914.666666666599</v>
      </c>
      <c r="B2395" s="4">
        <f ca="1">IFERROR(__xludf.DUMMYFUNCTION("""COMPUTED_VALUE"""),1134.46)</f>
        <v>1134.46</v>
      </c>
      <c r="C2395" s="5">
        <f t="shared" ca="1" si="0"/>
        <v>7.1081632585393531E-2</v>
      </c>
    </row>
    <row r="2396" spans="1:3" ht="13" x14ac:dyDescent="0.15">
      <c r="A2396" s="3">
        <f ca="1">IFERROR(__xludf.DUMMYFUNCTION("""COMPUTED_VALUE"""),43915.6666666666)</f>
        <v>43915.666666666599</v>
      </c>
      <c r="B2396" s="4">
        <f ca="1">IFERROR(__xludf.DUMMYFUNCTION("""COMPUTED_VALUE"""),1102.49)</f>
        <v>1102.49</v>
      </c>
      <c r="C2396" s="5">
        <f t="shared" ca="1" si="0"/>
        <v>-2.8585508790414205E-2</v>
      </c>
    </row>
    <row r="2397" spans="1:3" ht="13" x14ac:dyDescent="0.15">
      <c r="A2397" s="3">
        <f ca="1">IFERROR(__xludf.DUMMYFUNCTION("""COMPUTED_VALUE"""),43916.6666666666)</f>
        <v>43916.666666666599</v>
      </c>
      <c r="B2397" s="4">
        <f ca="1">IFERROR(__xludf.DUMMYFUNCTION("""COMPUTED_VALUE"""),1161.75)</f>
        <v>1161.75</v>
      </c>
      <c r="C2397" s="5">
        <f t="shared" ca="1" si="0"/>
        <v>5.2356230980006545E-2</v>
      </c>
    </row>
    <row r="2398" spans="1:3" ht="13" x14ac:dyDescent="0.15">
      <c r="A2398" s="3">
        <f ca="1">IFERROR(__xludf.DUMMYFUNCTION("""COMPUTED_VALUE"""),43917.6666666666)</f>
        <v>43917.666666666599</v>
      </c>
      <c r="B2398" s="4">
        <f ca="1">IFERROR(__xludf.DUMMYFUNCTION("""COMPUTED_VALUE"""),1110.71)</f>
        <v>1110.71</v>
      </c>
      <c r="C2398" s="5">
        <f t="shared" ca="1" si="0"/>
        <v>-4.4928038501310504E-2</v>
      </c>
    </row>
    <row r="2399" spans="1:3" ht="13" x14ac:dyDescent="0.15">
      <c r="A2399" s="3">
        <f ca="1">IFERROR(__xludf.DUMMYFUNCTION("""COMPUTED_VALUE"""),43920.6666666666)</f>
        <v>43920.666666666599</v>
      </c>
      <c r="B2399" s="4">
        <f ca="1">IFERROR(__xludf.DUMMYFUNCTION("""COMPUTED_VALUE"""),1146.82)</f>
        <v>1146.82</v>
      </c>
      <c r="C2399" s="5">
        <f t="shared" ca="1" si="0"/>
        <v>3.1993444225943128E-2</v>
      </c>
    </row>
    <row r="2400" spans="1:3" ht="13" x14ac:dyDescent="0.15">
      <c r="A2400" s="3">
        <f ca="1">IFERROR(__xludf.DUMMYFUNCTION("""COMPUTED_VALUE"""),43921.6666666666)</f>
        <v>43921.666666666599</v>
      </c>
      <c r="B2400" s="4">
        <f ca="1">IFERROR(__xludf.DUMMYFUNCTION("""COMPUTED_VALUE"""),1162.81)</f>
        <v>1162.81</v>
      </c>
      <c r="C2400" s="5">
        <f t="shared" ca="1" si="0"/>
        <v>1.3846594889221958E-2</v>
      </c>
    </row>
    <row r="2401" spans="1:3" ht="13" x14ac:dyDescent="0.15">
      <c r="A2401" s="3">
        <f ca="1">IFERROR(__xludf.DUMMYFUNCTION("""COMPUTED_VALUE"""),43922.6666666666)</f>
        <v>43922.666666666599</v>
      </c>
      <c r="B2401" s="4">
        <f ca="1">IFERROR(__xludf.DUMMYFUNCTION("""COMPUTED_VALUE"""),1105.62)</f>
        <v>1105.6199999999999</v>
      </c>
      <c r="C2401" s="5">
        <f t="shared" ca="1" si="0"/>
        <v>-5.043322600411769E-2</v>
      </c>
    </row>
    <row r="2402" spans="1:3" ht="13" x14ac:dyDescent="0.15">
      <c r="A2402" s="3">
        <f ca="1">IFERROR(__xludf.DUMMYFUNCTION("""COMPUTED_VALUE"""),43923.6666666666)</f>
        <v>43923.666666666599</v>
      </c>
      <c r="B2402" s="4">
        <f ca="1">IFERROR(__xludf.DUMMYFUNCTION("""COMPUTED_VALUE"""),1120.84)</f>
        <v>1120.8399999999999</v>
      </c>
      <c r="C2402" s="5">
        <f t="shared" ca="1" si="0"/>
        <v>1.367214060486165E-2</v>
      </c>
    </row>
    <row r="2403" spans="1:3" ht="13" x14ac:dyDescent="0.15">
      <c r="A2403" s="3">
        <f ca="1">IFERROR(__xludf.DUMMYFUNCTION("""COMPUTED_VALUE"""),43924.6666666666)</f>
        <v>43924.666666666599</v>
      </c>
      <c r="B2403" s="4">
        <f ca="1">IFERROR(__xludf.DUMMYFUNCTION("""COMPUTED_VALUE"""),1097.88)</f>
        <v>1097.8800000000001</v>
      </c>
      <c r="C2403" s="5">
        <f t="shared" ca="1" si="0"/>
        <v>-2.0697356700241833E-2</v>
      </c>
    </row>
    <row r="2404" spans="1:3" ht="13" x14ac:dyDescent="0.15">
      <c r="A2404" s="3">
        <f ca="1">IFERROR(__xludf.DUMMYFUNCTION("""COMPUTED_VALUE"""),43927.6666666666)</f>
        <v>43927.666666666599</v>
      </c>
      <c r="B2404" s="4">
        <f ca="1">IFERROR(__xludf.DUMMYFUNCTION("""COMPUTED_VALUE"""),1186.92)</f>
        <v>1186.92</v>
      </c>
      <c r="C2404" s="5">
        <f t="shared" ca="1" si="0"/>
        <v>7.798066906030543E-2</v>
      </c>
    </row>
    <row r="2405" spans="1:3" ht="13" x14ac:dyDescent="0.15">
      <c r="A2405" s="3">
        <f ca="1">IFERROR(__xludf.DUMMYFUNCTION("""COMPUTED_VALUE"""),43928.6666666666)</f>
        <v>43928.666666666599</v>
      </c>
      <c r="B2405" s="4">
        <f ca="1">IFERROR(__xludf.DUMMYFUNCTION("""COMPUTED_VALUE"""),1186.51)</f>
        <v>1186.51</v>
      </c>
      <c r="C2405" s="5">
        <f t="shared" ca="1" si="0"/>
        <v>-3.45491549427139E-4</v>
      </c>
    </row>
    <row r="2406" spans="1:3" ht="13" x14ac:dyDescent="0.15">
      <c r="A2406" s="3">
        <f ca="1">IFERROR(__xludf.DUMMYFUNCTION("""COMPUTED_VALUE"""),43929.6666666666)</f>
        <v>43929.666666666599</v>
      </c>
      <c r="B2406" s="4">
        <f ca="1">IFERROR(__xludf.DUMMYFUNCTION("""COMPUTED_VALUE"""),1210.28)</f>
        <v>1210.28</v>
      </c>
      <c r="C2406" s="5">
        <f t="shared" ca="1" si="0"/>
        <v>1.9835512789143944E-2</v>
      </c>
    </row>
    <row r="2407" spans="1:3" ht="13" x14ac:dyDescent="0.15">
      <c r="A2407" s="3">
        <f ca="1">IFERROR(__xludf.DUMMYFUNCTION("""COMPUTED_VALUE"""),43930.6666666666)</f>
        <v>43930.666666666599</v>
      </c>
      <c r="B2407" s="4">
        <f ca="1">IFERROR(__xludf.DUMMYFUNCTION("""COMPUTED_VALUE"""),1211.45)</f>
        <v>1211.45</v>
      </c>
      <c r="C2407" s="5">
        <f t="shared" ca="1" si="0"/>
        <v>9.6625147397131088E-4</v>
      </c>
    </row>
    <row r="2408" spans="1:3" ht="13" x14ac:dyDescent="0.15">
      <c r="A2408" s="3">
        <f ca="1">IFERROR(__xludf.DUMMYFUNCTION("""COMPUTED_VALUE"""),43934.6666666666)</f>
        <v>43934.666666666599</v>
      </c>
      <c r="B2408" s="4">
        <f ca="1">IFERROR(__xludf.DUMMYFUNCTION("""COMPUTED_VALUE"""),1217.56)</f>
        <v>1217.56</v>
      </c>
      <c r="C2408" s="5">
        <f t="shared" ca="1" si="0"/>
        <v>5.0308668031911145E-3</v>
      </c>
    </row>
    <row r="2409" spans="1:3" ht="13" x14ac:dyDescent="0.15">
      <c r="A2409" s="3">
        <f ca="1">IFERROR(__xludf.DUMMYFUNCTION("""COMPUTED_VALUE"""),43935.6666666666)</f>
        <v>43935.666666666599</v>
      </c>
      <c r="B2409" s="4">
        <f ca="1">IFERROR(__xludf.DUMMYFUNCTION("""COMPUTED_VALUE"""),1269.23)</f>
        <v>1269.23</v>
      </c>
      <c r="C2409" s="5">
        <f t="shared" ca="1" si="0"/>
        <v>4.1561561309716513E-2</v>
      </c>
    </row>
    <row r="2410" spans="1:3" ht="13" x14ac:dyDescent="0.15">
      <c r="A2410" s="3">
        <f ca="1">IFERROR(__xludf.DUMMYFUNCTION("""COMPUTED_VALUE"""),43936.6666666666)</f>
        <v>43936.666666666599</v>
      </c>
      <c r="B2410" s="4">
        <f ca="1">IFERROR(__xludf.DUMMYFUNCTION("""COMPUTED_VALUE"""),1262.47)</f>
        <v>1262.47</v>
      </c>
      <c r="C2410" s="5">
        <f t="shared" ca="1" si="0"/>
        <v>-5.340297875397958E-3</v>
      </c>
    </row>
    <row r="2411" spans="1:3" ht="13" x14ac:dyDescent="0.15">
      <c r="A2411" s="3">
        <f ca="1">IFERROR(__xludf.DUMMYFUNCTION("""COMPUTED_VALUE"""),43937.6666666666)</f>
        <v>43937.666666666599</v>
      </c>
      <c r="B2411" s="4">
        <f ca="1">IFERROR(__xludf.DUMMYFUNCTION("""COMPUTED_VALUE"""),1263.47)</f>
        <v>1263.47</v>
      </c>
      <c r="C2411" s="5">
        <f t="shared" ca="1" si="0"/>
        <v>7.9178448596843847E-4</v>
      </c>
    </row>
    <row r="2412" spans="1:3" ht="13" x14ac:dyDescent="0.15">
      <c r="A2412" s="3">
        <f ca="1">IFERROR(__xludf.DUMMYFUNCTION("""COMPUTED_VALUE"""),43938.6666666666)</f>
        <v>43938.666666666599</v>
      </c>
      <c r="B2412" s="4">
        <f ca="1">IFERROR(__xludf.DUMMYFUNCTION("""COMPUTED_VALUE"""),1283.25)</f>
        <v>1283.25</v>
      </c>
      <c r="C2412" s="5">
        <f t="shared" ca="1" si="0"/>
        <v>1.5534018463496477E-2</v>
      </c>
    </row>
    <row r="2413" spans="1:3" ht="13" x14ac:dyDescent="0.15">
      <c r="A2413" s="3">
        <f ca="1">IFERROR(__xludf.DUMMYFUNCTION("""COMPUTED_VALUE"""),43941.6666666666)</f>
        <v>43941.666666666599</v>
      </c>
      <c r="B2413" s="4">
        <f ca="1">IFERROR(__xludf.DUMMYFUNCTION("""COMPUTED_VALUE"""),1266.61)</f>
        <v>1266.6099999999999</v>
      </c>
      <c r="C2413" s="5">
        <f t="shared" ca="1" si="0"/>
        <v>-1.3051882236872821E-2</v>
      </c>
    </row>
    <row r="2414" spans="1:3" ht="13" x14ac:dyDescent="0.15">
      <c r="A2414" s="3">
        <f ca="1">IFERROR(__xludf.DUMMYFUNCTION("""COMPUTED_VALUE"""),43942.6666666666)</f>
        <v>43942.666666666599</v>
      </c>
      <c r="B2414" s="4">
        <f ca="1">IFERROR(__xludf.DUMMYFUNCTION("""COMPUTED_VALUE"""),1216.34)</f>
        <v>1216.3399999999999</v>
      </c>
      <c r="C2414" s="5">
        <f t="shared" ca="1" si="0"/>
        <v>-4.0497690496536266E-2</v>
      </c>
    </row>
    <row r="2415" spans="1:3" ht="13" x14ac:dyDescent="0.15">
      <c r="A2415" s="3">
        <f ca="1">IFERROR(__xludf.DUMMYFUNCTION("""COMPUTED_VALUE"""),43943.6666666666)</f>
        <v>43943.666666666599</v>
      </c>
      <c r="B2415" s="4">
        <f ca="1">IFERROR(__xludf.DUMMYFUNCTION("""COMPUTED_VALUE"""),1263.21)</f>
        <v>1263.21</v>
      </c>
      <c r="C2415" s="5">
        <f t="shared" ca="1" si="0"/>
        <v>3.7809750605880897E-2</v>
      </c>
    </row>
    <row r="2416" spans="1:3" ht="13" x14ac:dyDescent="0.15">
      <c r="A2416" s="3">
        <f ca="1">IFERROR(__xludf.DUMMYFUNCTION("""COMPUTED_VALUE"""),43944.6666666666)</f>
        <v>43944.666666666599</v>
      </c>
      <c r="B2416" s="4">
        <f ca="1">IFERROR(__xludf.DUMMYFUNCTION("""COMPUTED_VALUE"""),1276.31)</f>
        <v>1276.31</v>
      </c>
      <c r="C2416" s="5">
        <f t="shared" ca="1" si="0"/>
        <v>1.0317001793542E-2</v>
      </c>
    </row>
    <row r="2417" spans="1:3" ht="13" x14ac:dyDescent="0.15">
      <c r="A2417" s="3">
        <f ca="1">IFERROR(__xludf.DUMMYFUNCTION("""COMPUTED_VALUE"""),43945.6666666666)</f>
        <v>43945.666666666599</v>
      </c>
      <c r="B2417" s="4">
        <f ca="1">IFERROR(__xludf.DUMMYFUNCTION("""COMPUTED_VALUE"""),1279.31)</f>
        <v>1279.31</v>
      </c>
      <c r="C2417" s="5">
        <f t="shared" ca="1" si="0"/>
        <v>2.3477679608106448E-3</v>
      </c>
    </row>
    <row r="2418" spans="1:3" ht="13" x14ac:dyDescent="0.15">
      <c r="A2418" s="3">
        <f ca="1">IFERROR(__xludf.DUMMYFUNCTION("""COMPUTED_VALUE"""),43948.6666666666)</f>
        <v>43948.666666666599</v>
      </c>
      <c r="B2418" s="4">
        <f ca="1">IFERROR(__xludf.DUMMYFUNCTION("""COMPUTED_VALUE"""),1275.88)</f>
        <v>1275.8800000000001</v>
      </c>
      <c r="C2418" s="5">
        <f t="shared" ca="1" si="0"/>
        <v>-2.6847334720528E-3</v>
      </c>
    </row>
    <row r="2419" spans="1:3" ht="13" x14ac:dyDescent="0.15">
      <c r="A2419" s="3">
        <f ca="1">IFERROR(__xludf.DUMMYFUNCTION("""COMPUTED_VALUE"""),43949.6666666666)</f>
        <v>43949.666666666599</v>
      </c>
      <c r="B2419" s="4">
        <f ca="1">IFERROR(__xludf.DUMMYFUNCTION("""COMPUTED_VALUE"""),1233.67)</f>
        <v>1233.67</v>
      </c>
      <c r="C2419" s="5">
        <f t="shared" ca="1" si="0"/>
        <v>-3.3642669908348369E-2</v>
      </c>
    </row>
    <row r="2420" spans="1:3" ht="13" x14ac:dyDescent="0.15">
      <c r="A2420" s="3">
        <f ca="1">IFERROR(__xludf.DUMMYFUNCTION("""COMPUTED_VALUE"""),43950.6666666666)</f>
        <v>43950.666666666599</v>
      </c>
      <c r="B2420" s="4">
        <f ca="1">IFERROR(__xludf.DUMMYFUNCTION("""COMPUTED_VALUE"""),1341.48)</f>
        <v>1341.48</v>
      </c>
      <c r="C2420" s="5">
        <f t="shared" ca="1" si="0"/>
        <v>8.3780015383398798E-2</v>
      </c>
    </row>
    <row r="2421" spans="1:3" ht="13" x14ac:dyDescent="0.15">
      <c r="A2421" s="3">
        <f ca="1">IFERROR(__xludf.DUMMYFUNCTION("""COMPUTED_VALUE"""),43951.6666666666)</f>
        <v>43951.666666666599</v>
      </c>
      <c r="B2421" s="4">
        <f ca="1">IFERROR(__xludf.DUMMYFUNCTION("""COMPUTED_VALUE"""),1348.66)</f>
        <v>1348.66</v>
      </c>
      <c r="C2421" s="5">
        <f t="shared" ca="1" si="0"/>
        <v>5.3380248233970036E-3</v>
      </c>
    </row>
    <row r="2422" spans="1:3" ht="13" x14ac:dyDescent="0.15">
      <c r="A2422" s="3">
        <f ca="1">IFERROR(__xludf.DUMMYFUNCTION("""COMPUTED_VALUE"""),43952.6666666666)</f>
        <v>43952.666666666599</v>
      </c>
      <c r="B2422" s="4">
        <f ca="1">IFERROR(__xludf.DUMMYFUNCTION("""COMPUTED_VALUE"""),1320.61)</f>
        <v>1320.61</v>
      </c>
      <c r="C2422" s="5">
        <f t="shared" ca="1" si="0"/>
        <v>-2.1017755846216464E-2</v>
      </c>
    </row>
    <row r="2423" spans="1:3" ht="13" x14ac:dyDescent="0.15">
      <c r="A2423" s="3">
        <f ca="1">IFERROR(__xludf.DUMMYFUNCTION("""COMPUTED_VALUE"""),43955.6666666666)</f>
        <v>43955.666666666599</v>
      </c>
      <c r="B2423" s="4">
        <f ca="1">IFERROR(__xludf.DUMMYFUNCTION("""COMPUTED_VALUE"""),1326.8)</f>
        <v>1326.8</v>
      </c>
      <c r="C2423" s="5">
        <f t="shared" ca="1" si="0"/>
        <v>4.6762770254821263E-3</v>
      </c>
    </row>
    <row r="2424" spans="1:3" ht="13" x14ac:dyDescent="0.15">
      <c r="A2424" s="3">
        <f ca="1">IFERROR(__xludf.DUMMYFUNCTION("""COMPUTED_VALUE"""),43956.6666666666)</f>
        <v>43956.666666666599</v>
      </c>
      <c r="B2424" s="4">
        <f ca="1">IFERROR(__xludf.DUMMYFUNCTION("""COMPUTED_VALUE"""),1351.11)</f>
        <v>1351.11</v>
      </c>
      <c r="C2424" s="5">
        <f t="shared" ca="1" si="0"/>
        <v>1.8156448742281974E-2</v>
      </c>
    </row>
    <row r="2425" spans="1:3" ht="13" x14ac:dyDescent="0.15">
      <c r="A2425" s="3">
        <f ca="1">IFERROR(__xludf.DUMMYFUNCTION("""COMPUTED_VALUE"""),43957.6666666666)</f>
        <v>43957.666666666599</v>
      </c>
      <c r="B2425" s="4">
        <f ca="1">IFERROR(__xludf.DUMMYFUNCTION("""COMPUTED_VALUE"""),1347.3)</f>
        <v>1347.3</v>
      </c>
      <c r="C2425" s="5">
        <f t="shared" ca="1" si="0"/>
        <v>-2.8238870533773136E-3</v>
      </c>
    </row>
    <row r="2426" spans="1:3" ht="13" x14ac:dyDescent="0.15">
      <c r="A2426" s="3">
        <f ca="1">IFERROR(__xludf.DUMMYFUNCTION("""COMPUTED_VALUE"""),43958.6666666666)</f>
        <v>43958.666666666599</v>
      </c>
      <c r="B2426" s="4">
        <f ca="1">IFERROR(__xludf.DUMMYFUNCTION("""COMPUTED_VALUE"""),1372.56)</f>
        <v>1372.56</v>
      </c>
      <c r="C2426" s="5">
        <f t="shared" ca="1" si="0"/>
        <v>1.8575019513368332E-2</v>
      </c>
    </row>
    <row r="2427" spans="1:3" ht="13" x14ac:dyDescent="0.15">
      <c r="A2427" s="3">
        <f ca="1">IFERROR(__xludf.DUMMYFUNCTION("""COMPUTED_VALUE"""),43959.6666666666)</f>
        <v>43959.666666666599</v>
      </c>
      <c r="B2427" s="4">
        <f ca="1">IFERROR(__xludf.DUMMYFUNCTION("""COMPUTED_VALUE"""),1388.37)</f>
        <v>1388.37</v>
      </c>
      <c r="C2427" s="5">
        <f t="shared" ca="1" si="0"/>
        <v>1.1452787873135776E-2</v>
      </c>
    </row>
    <row r="2428" spans="1:3" ht="13" x14ac:dyDescent="0.15">
      <c r="A2428" s="3">
        <f ca="1">IFERROR(__xludf.DUMMYFUNCTION("""COMPUTED_VALUE"""),43962.6666666666)</f>
        <v>43962.666666666599</v>
      </c>
      <c r="B2428" s="4">
        <f ca="1">IFERROR(__xludf.DUMMYFUNCTION("""COMPUTED_VALUE"""),1403.26)</f>
        <v>1403.26</v>
      </c>
      <c r="C2428" s="5">
        <f t="shared" ca="1" si="0"/>
        <v>1.0667703962524646E-2</v>
      </c>
    </row>
    <row r="2429" spans="1:3" ht="13" x14ac:dyDescent="0.15">
      <c r="A2429" s="3">
        <f ca="1">IFERROR(__xludf.DUMMYFUNCTION("""COMPUTED_VALUE"""),43963.6666666666)</f>
        <v>43963.666666666599</v>
      </c>
      <c r="B2429" s="4">
        <f ca="1">IFERROR(__xludf.DUMMYFUNCTION("""COMPUTED_VALUE"""),1375.74)</f>
        <v>1375.74</v>
      </c>
      <c r="C2429" s="5">
        <f t="shared" ca="1" si="0"/>
        <v>-1.9806332959873281E-2</v>
      </c>
    </row>
    <row r="2430" spans="1:3" ht="13" x14ac:dyDescent="0.15">
      <c r="A2430" s="3">
        <f ca="1">IFERROR(__xludf.DUMMYFUNCTION("""COMPUTED_VALUE"""),43964.6666666666)</f>
        <v>43964.666666666599</v>
      </c>
      <c r="B2430" s="4">
        <f ca="1">IFERROR(__xludf.DUMMYFUNCTION("""COMPUTED_VALUE"""),1349.33)</f>
        <v>1349.33</v>
      </c>
      <c r="C2430" s="5">
        <f t="shared" ca="1" si="0"/>
        <v>-1.9383595210548232E-2</v>
      </c>
    </row>
    <row r="2431" spans="1:3" ht="13" x14ac:dyDescent="0.15">
      <c r="A2431" s="3">
        <f ca="1">IFERROR(__xludf.DUMMYFUNCTION("""COMPUTED_VALUE"""),43965.6666666666)</f>
        <v>43965.666666666599</v>
      </c>
      <c r="B2431" s="4">
        <f ca="1">IFERROR(__xludf.DUMMYFUNCTION("""COMPUTED_VALUE"""),1356.13)</f>
        <v>1356.13</v>
      </c>
      <c r="C2431" s="5">
        <f t="shared" ca="1" si="0"/>
        <v>5.0268821711669034E-3</v>
      </c>
    </row>
    <row r="2432" spans="1:3" ht="13" x14ac:dyDescent="0.15">
      <c r="A2432" s="3">
        <f ca="1">IFERROR(__xludf.DUMMYFUNCTION("""COMPUTED_VALUE"""),43966.6666666666)</f>
        <v>43966.666666666599</v>
      </c>
      <c r="B2432" s="4">
        <f ca="1">IFERROR(__xludf.DUMMYFUNCTION("""COMPUTED_VALUE"""),1373.19)</f>
        <v>1373.19</v>
      </c>
      <c r="C2432" s="5">
        <f t="shared" ca="1" si="0"/>
        <v>1.2501445185031601E-2</v>
      </c>
    </row>
    <row r="2433" spans="1:3" ht="13" x14ac:dyDescent="0.15">
      <c r="A2433" s="3">
        <f ca="1">IFERROR(__xludf.DUMMYFUNCTION("""COMPUTED_VALUE"""),43969.6666666666)</f>
        <v>43969.666666666599</v>
      </c>
      <c r="B2433" s="4">
        <f ca="1">IFERROR(__xludf.DUMMYFUNCTION("""COMPUTED_VALUE"""),1383.94)</f>
        <v>1383.94</v>
      </c>
      <c r="C2433" s="5">
        <f t="shared" ca="1" si="0"/>
        <v>7.7980033401001004E-3</v>
      </c>
    </row>
    <row r="2434" spans="1:3" ht="13" x14ac:dyDescent="0.15">
      <c r="A2434" s="3">
        <f ca="1">IFERROR(__xludf.DUMMYFUNCTION("""COMPUTED_VALUE"""),43970.6666666666)</f>
        <v>43970.666666666599</v>
      </c>
      <c r="B2434" s="4">
        <f ca="1">IFERROR(__xludf.DUMMYFUNCTION("""COMPUTED_VALUE"""),1373.49)</f>
        <v>1373.49</v>
      </c>
      <c r="C2434" s="5">
        <f t="shared" ca="1" si="0"/>
        <v>-7.5795577977049835E-3</v>
      </c>
    </row>
    <row r="2435" spans="1:3" ht="13" x14ac:dyDescent="0.15">
      <c r="A2435" s="3">
        <f ca="1">IFERROR(__xludf.DUMMYFUNCTION("""COMPUTED_VALUE"""),43971.6666666666)</f>
        <v>43971.666666666599</v>
      </c>
      <c r="B2435" s="4">
        <f ca="1">IFERROR(__xludf.DUMMYFUNCTION("""COMPUTED_VALUE"""),1406.72)</f>
        <v>1406.72</v>
      </c>
      <c r="C2435" s="5">
        <f t="shared" ca="1" si="0"/>
        <v>2.3905807496144554E-2</v>
      </c>
    </row>
    <row r="2436" spans="1:3" ht="13" x14ac:dyDescent="0.15">
      <c r="A2436" s="3">
        <f ca="1">IFERROR(__xludf.DUMMYFUNCTION("""COMPUTED_VALUE"""),43972.6666666666)</f>
        <v>43972.666666666599</v>
      </c>
      <c r="B2436" s="4">
        <f ca="1">IFERROR(__xludf.DUMMYFUNCTION("""COMPUTED_VALUE"""),1402.8)</f>
        <v>1402.8</v>
      </c>
      <c r="C2436" s="5">
        <f t="shared" ca="1" si="0"/>
        <v>-2.790514069124163E-3</v>
      </c>
    </row>
    <row r="2437" spans="1:3" ht="13" x14ac:dyDescent="0.15">
      <c r="A2437" s="3">
        <f ca="1">IFERROR(__xludf.DUMMYFUNCTION("""COMPUTED_VALUE"""),43973.6666666666)</f>
        <v>43973.666666666599</v>
      </c>
      <c r="B2437" s="4">
        <f ca="1">IFERROR(__xludf.DUMMYFUNCTION("""COMPUTED_VALUE"""),1410.42)</f>
        <v>1410.42</v>
      </c>
      <c r="C2437" s="5">
        <f t="shared" ca="1" si="0"/>
        <v>5.4172930914587825E-3</v>
      </c>
    </row>
    <row r="2438" spans="1:3" ht="13" x14ac:dyDescent="0.15">
      <c r="A2438" s="3">
        <f ca="1">IFERROR(__xludf.DUMMYFUNCTION("""COMPUTED_VALUE"""),43977.6666666666)</f>
        <v>43977.666666666599</v>
      </c>
      <c r="B2438" s="4">
        <f ca="1">IFERROR(__xludf.DUMMYFUNCTION("""COMPUTED_VALUE"""),1417.02)</f>
        <v>1417.02</v>
      </c>
      <c r="C2438" s="5">
        <f t="shared" ca="1" si="0"/>
        <v>4.6685425596333287E-3</v>
      </c>
    </row>
    <row r="2439" spans="1:3" ht="13" x14ac:dyDescent="0.15">
      <c r="A2439" s="3">
        <f ca="1">IFERROR(__xludf.DUMMYFUNCTION("""COMPUTED_VALUE"""),43978.6666666666)</f>
        <v>43978.666666666599</v>
      </c>
      <c r="B2439" s="4">
        <f ca="1">IFERROR(__xludf.DUMMYFUNCTION("""COMPUTED_VALUE"""),1417.84)</f>
        <v>1417.84</v>
      </c>
      <c r="C2439" s="5">
        <f t="shared" ca="1" si="0"/>
        <v>5.7851182976905466E-4</v>
      </c>
    </row>
    <row r="2440" spans="1:3" ht="13" x14ac:dyDescent="0.15">
      <c r="A2440" s="3">
        <f ca="1">IFERROR(__xludf.DUMMYFUNCTION("""COMPUTED_VALUE"""),43979.6666666666)</f>
        <v>43979.666666666599</v>
      </c>
      <c r="B2440" s="4">
        <f ca="1">IFERROR(__xludf.DUMMYFUNCTION("""COMPUTED_VALUE"""),1416.73)</f>
        <v>1416.73</v>
      </c>
      <c r="C2440" s="5">
        <f t="shared" ca="1" si="0"/>
        <v>-7.8318761345653521E-4</v>
      </c>
    </row>
    <row r="2441" spans="1:3" ht="13" x14ac:dyDescent="0.15">
      <c r="A2441" s="3">
        <f ca="1">IFERROR(__xludf.DUMMYFUNCTION("""COMPUTED_VALUE"""),43980.6666666666)</f>
        <v>43980.666666666599</v>
      </c>
      <c r="B2441" s="4">
        <f ca="1">IFERROR(__xludf.DUMMYFUNCTION("""COMPUTED_VALUE"""),1428.92)</f>
        <v>1428.92</v>
      </c>
      <c r="C2441" s="5">
        <f t="shared" ca="1" si="0"/>
        <v>8.567515024283304E-3</v>
      </c>
    </row>
    <row r="2442" spans="1:3" ht="13" x14ac:dyDescent="0.15">
      <c r="A2442" s="3">
        <f ca="1">IFERROR(__xludf.DUMMYFUNCTION("""COMPUTED_VALUE"""),43983.6666666666)</f>
        <v>43983.666666666599</v>
      </c>
      <c r="B2442" s="4">
        <f ca="1">IFERROR(__xludf.DUMMYFUNCTION("""COMPUTED_VALUE"""),1431.82)</f>
        <v>1431.82</v>
      </c>
      <c r="C2442" s="5">
        <f t="shared" ca="1" si="0"/>
        <v>2.0274481381612965E-3</v>
      </c>
    </row>
    <row r="2443" spans="1:3" ht="13" x14ac:dyDescent="0.15">
      <c r="A2443" s="3">
        <f ca="1">IFERROR(__xludf.DUMMYFUNCTION("""COMPUTED_VALUE"""),43984.6666666666)</f>
        <v>43984.666666666599</v>
      </c>
      <c r="B2443" s="4">
        <f ca="1">IFERROR(__xludf.DUMMYFUNCTION("""COMPUTED_VALUE"""),1439.22)</f>
        <v>1439.22</v>
      </c>
      <c r="C2443" s="5">
        <f t="shared" ca="1" si="0"/>
        <v>5.1549378531216532E-3</v>
      </c>
    </row>
    <row r="2444" spans="1:3" ht="13" x14ac:dyDescent="0.15">
      <c r="A2444" s="3">
        <f ca="1">IFERROR(__xludf.DUMMYFUNCTION("""COMPUTED_VALUE"""),43985.6666666666)</f>
        <v>43985.666666666599</v>
      </c>
      <c r="B2444" s="4">
        <f ca="1">IFERROR(__xludf.DUMMYFUNCTION("""COMPUTED_VALUE"""),1436.38)</f>
        <v>1436.38</v>
      </c>
      <c r="C2444" s="5">
        <f t="shared" ca="1" si="0"/>
        <v>-1.9752405921357073E-3</v>
      </c>
    </row>
    <row r="2445" spans="1:3" ht="13" x14ac:dyDescent="0.15">
      <c r="A2445" s="3">
        <f ca="1">IFERROR(__xludf.DUMMYFUNCTION("""COMPUTED_VALUE"""),43986.6666666666)</f>
        <v>43986.666666666599</v>
      </c>
      <c r="B2445" s="4">
        <f ca="1">IFERROR(__xludf.DUMMYFUNCTION("""COMPUTED_VALUE"""),1412.18)</f>
        <v>1412.18</v>
      </c>
      <c r="C2445" s="5">
        <f t="shared" ca="1" si="0"/>
        <v>-1.6991449874855333E-2</v>
      </c>
    </row>
    <row r="2446" spans="1:3" ht="13" x14ac:dyDescent="0.15">
      <c r="A2446" s="3">
        <f ca="1">IFERROR(__xludf.DUMMYFUNCTION("""COMPUTED_VALUE"""),43987.6666666666)</f>
        <v>43987.666666666599</v>
      </c>
      <c r="B2446" s="4">
        <f ca="1">IFERROR(__xludf.DUMMYFUNCTION("""COMPUTED_VALUE"""),1438.39)</f>
        <v>1438.39</v>
      </c>
      <c r="C2446" s="5">
        <f t="shared" ca="1" si="0"/>
        <v>1.8389822842110045E-2</v>
      </c>
    </row>
    <row r="2447" spans="1:3" ht="13" x14ac:dyDescent="0.15">
      <c r="A2447" s="3">
        <f ca="1">IFERROR(__xludf.DUMMYFUNCTION("""COMPUTED_VALUE"""),43990.6666666666)</f>
        <v>43990.666666666599</v>
      </c>
      <c r="B2447" s="4">
        <f ca="1">IFERROR(__xludf.DUMMYFUNCTION("""COMPUTED_VALUE"""),1446.61)</f>
        <v>1446.61</v>
      </c>
      <c r="C2447" s="5">
        <f t="shared" ca="1" si="0"/>
        <v>5.6984556281313523E-3</v>
      </c>
    </row>
    <row r="2448" spans="1:3" ht="13" x14ac:dyDescent="0.15">
      <c r="A2448" s="3">
        <f ca="1">IFERROR(__xludf.DUMMYFUNCTION("""COMPUTED_VALUE"""),43991.6666666666)</f>
        <v>43991.666666666599</v>
      </c>
      <c r="B2448" s="4">
        <f ca="1">IFERROR(__xludf.DUMMYFUNCTION("""COMPUTED_VALUE"""),1456.16)</f>
        <v>1456.16</v>
      </c>
      <c r="C2448" s="5">
        <f t="shared" ca="1" si="0"/>
        <v>6.5799456768016479E-3</v>
      </c>
    </row>
    <row r="2449" spans="1:3" ht="13" x14ac:dyDescent="0.15">
      <c r="A2449" s="3">
        <f ca="1">IFERROR(__xludf.DUMMYFUNCTION("""COMPUTED_VALUE"""),43992.6666666666)</f>
        <v>43992.666666666599</v>
      </c>
      <c r="B2449" s="4">
        <f ca="1">IFERROR(__xludf.DUMMYFUNCTION("""COMPUTED_VALUE"""),1465.85)</f>
        <v>1465.85</v>
      </c>
      <c r="C2449" s="5">
        <f t="shared" ca="1" si="0"/>
        <v>6.6324451465645234E-3</v>
      </c>
    </row>
    <row r="2450" spans="1:3" ht="13" x14ac:dyDescent="0.15">
      <c r="A2450" s="3">
        <f ca="1">IFERROR(__xludf.DUMMYFUNCTION("""COMPUTED_VALUE"""),43993.6666666666)</f>
        <v>43993.666666666599</v>
      </c>
      <c r="B2450" s="4">
        <f ca="1">IFERROR(__xludf.DUMMYFUNCTION("""COMPUTED_VALUE"""),1403.84)</f>
        <v>1403.84</v>
      </c>
      <c r="C2450" s="5">
        <f t="shared" ca="1" si="0"/>
        <v>-4.3223939997761182E-2</v>
      </c>
    </row>
    <row r="2451" spans="1:3" ht="13" x14ac:dyDescent="0.15">
      <c r="A2451" s="3">
        <f ca="1">IFERROR(__xludf.DUMMYFUNCTION("""COMPUTED_VALUE"""),43994.6666666666)</f>
        <v>43994.666666666599</v>
      </c>
      <c r="B2451" s="4">
        <f ca="1">IFERROR(__xludf.DUMMYFUNCTION("""COMPUTED_VALUE"""),1413.18)</f>
        <v>1413.18</v>
      </c>
      <c r="C2451" s="5">
        <f t="shared" ca="1" si="0"/>
        <v>6.6311451284799235E-3</v>
      </c>
    </row>
    <row r="2452" spans="1:3" ht="13" x14ac:dyDescent="0.15">
      <c r="A2452" s="3">
        <f ca="1">IFERROR(__xludf.DUMMYFUNCTION("""COMPUTED_VALUE"""),43997.6666666666)</f>
        <v>43997.666666666599</v>
      </c>
      <c r="B2452" s="4">
        <f ca="1">IFERROR(__xludf.DUMMYFUNCTION("""COMPUTED_VALUE"""),1419.85)</f>
        <v>1419.85</v>
      </c>
      <c r="C2452" s="5">
        <f t="shared" ca="1" si="0"/>
        <v>4.7087481065173865E-3</v>
      </c>
    </row>
    <row r="2453" spans="1:3" ht="13" x14ac:dyDescent="0.15">
      <c r="A2453" s="3">
        <f ca="1">IFERROR(__xludf.DUMMYFUNCTION("""COMPUTED_VALUE"""),43998.6666666666)</f>
        <v>43998.666666666599</v>
      </c>
      <c r="B2453" s="4">
        <f ca="1">IFERROR(__xludf.DUMMYFUNCTION("""COMPUTED_VALUE"""),1442.72)</f>
        <v>1442.72</v>
      </c>
      <c r="C2453" s="5">
        <f t="shared" ca="1" si="0"/>
        <v>1.5978988538750277E-2</v>
      </c>
    </row>
    <row r="2454" spans="1:3" ht="13" x14ac:dyDescent="0.15">
      <c r="A2454" s="3">
        <f ca="1">IFERROR(__xludf.DUMMYFUNCTION("""COMPUTED_VALUE"""),43999.6666666666)</f>
        <v>43999.666666666599</v>
      </c>
      <c r="B2454" s="4">
        <f ca="1">IFERROR(__xludf.DUMMYFUNCTION("""COMPUTED_VALUE"""),1451.12)</f>
        <v>1451.12</v>
      </c>
      <c r="C2454" s="5">
        <f t="shared" ca="1" si="0"/>
        <v>5.8054512981174106E-3</v>
      </c>
    </row>
    <row r="2455" spans="1:3" ht="13" x14ac:dyDescent="0.15">
      <c r="A2455" s="3">
        <f ca="1">IFERROR(__xludf.DUMMYFUNCTION("""COMPUTED_VALUE"""),44000.6666666666)</f>
        <v>44000.666666666599</v>
      </c>
      <c r="B2455" s="4">
        <f ca="1">IFERROR(__xludf.DUMMYFUNCTION("""COMPUTED_VALUE"""),1435.96)</f>
        <v>1435.96</v>
      </c>
      <c r="C2455" s="5">
        <f t="shared" ca="1" si="0"/>
        <v>-1.0502056982709753E-2</v>
      </c>
    </row>
    <row r="2456" spans="1:3" ht="13" x14ac:dyDescent="0.15">
      <c r="A2456" s="3">
        <f ca="1">IFERROR(__xludf.DUMMYFUNCTION("""COMPUTED_VALUE"""),44001.6666666666)</f>
        <v>44001.666666666599</v>
      </c>
      <c r="B2456" s="4">
        <f ca="1">IFERROR(__xludf.DUMMYFUNCTION("""COMPUTED_VALUE"""),1431.72)</f>
        <v>1431.72</v>
      </c>
      <c r="C2456" s="5">
        <f t="shared" ca="1" si="0"/>
        <v>-2.9570963912949619E-3</v>
      </c>
    </row>
    <row r="2457" spans="1:3" ht="13" x14ac:dyDescent="0.15">
      <c r="A2457" s="3">
        <f ca="1">IFERROR(__xludf.DUMMYFUNCTION("""COMPUTED_VALUE"""),44004.6666666666)</f>
        <v>44004.666666666599</v>
      </c>
      <c r="B2457" s="4">
        <f ca="1">IFERROR(__xludf.DUMMYFUNCTION("""COMPUTED_VALUE"""),1451.86)</f>
        <v>1451.86</v>
      </c>
      <c r="C2457" s="5">
        <f t="shared" ca="1" si="0"/>
        <v>1.3968974327664816E-2</v>
      </c>
    </row>
    <row r="2458" spans="1:3" ht="13" x14ac:dyDescent="0.15">
      <c r="A2458" s="3">
        <f ca="1">IFERROR(__xludf.DUMMYFUNCTION("""COMPUTED_VALUE"""),44005.6666666666)</f>
        <v>44005.666666666599</v>
      </c>
      <c r="B2458" s="4">
        <f ca="1">IFERROR(__xludf.DUMMYFUNCTION("""COMPUTED_VALUE"""),1464.41)</f>
        <v>1464.41</v>
      </c>
      <c r="C2458" s="5">
        <f t="shared" ca="1" si="0"/>
        <v>8.6069379547096796E-3</v>
      </c>
    </row>
    <row r="2459" spans="1:3" ht="13" x14ac:dyDescent="0.15">
      <c r="A2459" s="3">
        <f ca="1">IFERROR(__xludf.DUMMYFUNCTION("""COMPUTED_VALUE"""),44006.6666666666)</f>
        <v>44006.666666666599</v>
      </c>
      <c r="B2459" s="4">
        <f ca="1">IFERROR(__xludf.DUMMYFUNCTION("""COMPUTED_VALUE"""),1431.97)</f>
        <v>1431.97</v>
      </c>
      <c r="C2459" s="5">
        <f t="shared" ca="1" si="0"/>
        <v>-2.2401312377611657E-2</v>
      </c>
    </row>
    <row r="2460" spans="1:3" ht="13" x14ac:dyDescent="0.15">
      <c r="A2460" s="3">
        <f ca="1">IFERROR(__xludf.DUMMYFUNCTION("""COMPUTED_VALUE"""),44007.6666666666)</f>
        <v>44007.666666666599</v>
      </c>
      <c r="B2460" s="4">
        <f ca="1">IFERROR(__xludf.DUMMYFUNCTION("""COMPUTED_VALUE"""),1441.33)</f>
        <v>1441.33</v>
      </c>
      <c r="C2460" s="5">
        <f t="shared" ca="1" si="0"/>
        <v>6.5151798343924313E-3</v>
      </c>
    </row>
    <row r="2461" spans="1:3" ht="13" x14ac:dyDescent="0.15">
      <c r="A2461" s="3">
        <f ca="1">IFERROR(__xludf.DUMMYFUNCTION("""COMPUTED_VALUE"""),44008.6666666666)</f>
        <v>44008.666666666599</v>
      </c>
      <c r="B2461" s="4">
        <f ca="1">IFERROR(__xludf.DUMMYFUNCTION("""COMPUTED_VALUE"""),1359.9)</f>
        <v>1359.9</v>
      </c>
      <c r="C2461" s="5">
        <f t="shared" ca="1" si="0"/>
        <v>-5.8155130799951042E-2</v>
      </c>
    </row>
    <row r="2462" spans="1:3" ht="13" x14ac:dyDescent="0.15">
      <c r="A2462" s="3">
        <f ca="1">IFERROR(__xludf.DUMMYFUNCTION("""COMPUTED_VALUE"""),44011.6666666666)</f>
        <v>44011.666666666599</v>
      </c>
      <c r="B2462" s="4">
        <f ca="1">IFERROR(__xludf.DUMMYFUNCTION("""COMPUTED_VALUE"""),1394.97)</f>
        <v>1394.97</v>
      </c>
      <c r="C2462" s="5">
        <f t="shared" ca="1" si="0"/>
        <v>2.5461742032964703E-2</v>
      </c>
    </row>
    <row r="2463" spans="1:3" ht="13" x14ac:dyDescent="0.15">
      <c r="A2463" s="3">
        <f ca="1">IFERROR(__xludf.DUMMYFUNCTION("""COMPUTED_VALUE"""),44012.6666666666)</f>
        <v>44012.666666666599</v>
      </c>
      <c r="B2463" s="4">
        <f ca="1">IFERROR(__xludf.DUMMYFUNCTION("""COMPUTED_VALUE"""),1413.61)</f>
        <v>1413.61</v>
      </c>
      <c r="C2463" s="5">
        <f t="shared" ca="1" si="0"/>
        <v>1.3273806469542333E-2</v>
      </c>
    </row>
    <row r="2464" spans="1:3" ht="13" x14ac:dyDescent="0.15">
      <c r="A2464" s="3">
        <f ca="1">IFERROR(__xludf.DUMMYFUNCTION("""COMPUTED_VALUE"""),44013.6666666666)</f>
        <v>44013.666666666599</v>
      </c>
      <c r="B2464" s="4">
        <f ca="1">IFERROR(__xludf.DUMMYFUNCTION("""COMPUTED_VALUE"""),1438.04)</f>
        <v>1438.04</v>
      </c>
      <c r="C2464" s="5">
        <f t="shared" ca="1" si="0"/>
        <v>1.713435918838533E-2</v>
      </c>
    </row>
    <row r="2465" spans="1:3" ht="13" x14ac:dyDescent="0.15">
      <c r="A2465" s="3">
        <f ca="1">IFERROR(__xludf.DUMMYFUNCTION("""COMPUTED_VALUE"""),44014.6666666666)</f>
        <v>44014.666666666599</v>
      </c>
      <c r="B2465" s="4">
        <f ca="1">IFERROR(__xludf.DUMMYFUNCTION("""COMPUTED_VALUE"""),1464.7)</f>
        <v>1464.7</v>
      </c>
      <c r="C2465" s="5">
        <f t="shared" ca="1" si="0"/>
        <v>1.8369368018455862E-2</v>
      </c>
    </row>
    <row r="2466" spans="1:3" ht="13" x14ac:dyDescent="0.15">
      <c r="A2466" s="3">
        <f ca="1">IFERROR(__xludf.DUMMYFUNCTION("""COMPUTED_VALUE"""),44018.6666666666)</f>
        <v>44018.666666666599</v>
      </c>
      <c r="B2466" s="4">
        <f ca="1">IFERROR(__xludf.DUMMYFUNCTION("""COMPUTED_VALUE"""),1495.7)</f>
        <v>1495.7</v>
      </c>
      <c r="C2466" s="5">
        <f t="shared" ca="1" si="0"/>
        <v>2.0943881341019367E-2</v>
      </c>
    </row>
    <row r="2467" spans="1:3" ht="13" x14ac:dyDescent="0.15">
      <c r="A2467" s="3">
        <f ca="1">IFERROR(__xludf.DUMMYFUNCTION("""COMPUTED_VALUE"""),44019.6666666666)</f>
        <v>44019.666666666599</v>
      </c>
      <c r="B2467" s="4">
        <f ca="1">IFERROR(__xludf.DUMMYFUNCTION("""COMPUTED_VALUE"""),1485.18)</f>
        <v>1485.18</v>
      </c>
      <c r="C2467" s="5">
        <f t="shared" ca="1" si="0"/>
        <v>-7.0583476528643168E-3</v>
      </c>
    </row>
    <row r="2468" spans="1:3" ht="13" x14ac:dyDescent="0.15">
      <c r="A2468" s="3">
        <f ca="1">IFERROR(__xludf.DUMMYFUNCTION("""COMPUTED_VALUE"""),44020.6666666666)</f>
        <v>44020.666666666599</v>
      </c>
      <c r="B2468" s="4">
        <f ca="1">IFERROR(__xludf.DUMMYFUNCTION("""COMPUTED_VALUE"""),1496)</f>
        <v>1496</v>
      </c>
      <c r="C2468" s="5">
        <f t="shared" ca="1" si="0"/>
        <v>7.2589025220060055E-3</v>
      </c>
    </row>
    <row r="2469" spans="1:3" ht="13" x14ac:dyDescent="0.15">
      <c r="A2469" s="3">
        <f ca="1">IFERROR(__xludf.DUMMYFUNCTION("""COMPUTED_VALUE"""),44021.6666666666)</f>
        <v>44021.666666666599</v>
      </c>
      <c r="B2469" s="4">
        <f ca="1">IFERROR(__xludf.DUMMYFUNCTION("""COMPUTED_VALUE"""),1510.99)</f>
        <v>1510.99</v>
      </c>
      <c r="C2469" s="5">
        <f t="shared" ca="1" si="0"/>
        <v>9.9701855827307641E-3</v>
      </c>
    </row>
    <row r="2470" spans="1:3" ht="13" x14ac:dyDescent="0.15">
      <c r="A2470" s="3">
        <f ca="1">IFERROR(__xludf.DUMMYFUNCTION("""COMPUTED_VALUE"""),44022.6666666666)</f>
        <v>44022.666666666599</v>
      </c>
      <c r="B2470" s="4">
        <f ca="1">IFERROR(__xludf.DUMMYFUNCTION("""COMPUTED_VALUE"""),1541.74)</f>
        <v>1541.74</v>
      </c>
      <c r="C2470" s="5">
        <f t="shared" ca="1" si="0"/>
        <v>2.0146583597529161E-2</v>
      </c>
    </row>
    <row r="2471" spans="1:3" ht="13" x14ac:dyDescent="0.15">
      <c r="A2471" s="3">
        <f ca="1">IFERROR(__xludf.DUMMYFUNCTION("""COMPUTED_VALUE"""),44025.6666666666)</f>
        <v>44025.666666666599</v>
      </c>
      <c r="B2471" s="4">
        <f ca="1">IFERROR(__xludf.DUMMYFUNCTION("""COMPUTED_VALUE"""),1511.34)</f>
        <v>1511.34</v>
      </c>
      <c r="C2471" s="5">
        <f t="shared" ca="1" si="0"/>
        <v>-1.9914974209034628E-2</v>
      </c>
    </row>
    <row r="2472" spans="1:3" ht="13" x14ac:dyDescent="0.15">
      <c r="A2472" s="3">
        <f ca="1">IFERROR(__xludf.DUMMYFUNCTION("""COMPUTED_VALUE"""),44026.6666666666)</f>
        <v>44026.666666666599</v>
      </c>
      <c r="B2472" s="4">
        <f ca="1">IFERROR(__xludf.DUMMYFUNCTION("""COMPUTED_VALUE"""),1520.58)</f>
        <v>1520.58</v>
      </c>
      <c r="C2472" s="5">
        <f t="shared" ca="1" si="0"/>
        <v>6.0951664993102181E-3</v>
      </c>
    </row>
    <row r="2473" spans="1:3" ht="13" x14ac:dyDescent="0.15">
      <c r="A2473" s="3">
        <f ca="1">IFERROR(__xludf.DUMMYFUNCTION("""COMPUTED_VALUE"""),44027.6666666666)</f>
        <v>44027.666666666599</v>
      </c>
      <c r="B2473" s="4">
        <f ca="1">IFERROR(__xludf.DUMMYFUNCTION("""COMPUTED_VALUE"""),1513.64)</f>
        <v>1513.64</v>
      </c>
      <c r="C2473" s="5">
        <f t="shared" ca="1" si="0"/>
        <v>-4.574494995222206E-3</v>
      </c>
    </row>
    <row r="2474" spans="1:3" ht="13" x14ac:dyDescent="0.15">
      <c r="A2474" s="3">
        <f ca="1">IFERROR(__xludf.DUMMYFUNCTION("""COMPUTED_VALUE"""),44028.6666666666)</f>
        <v>44028.666666666599</v>
      </c>
      <c r="B2474" s="4">
        <f ca="1">IFERROR(__xludf.DUMMYFUNCTION("""COMPUTED_VALUE"""),1518)</f>
        <v>1518</v>
      </c>
      <c r="C2474" s="5">
        <f t="shared" ca="1" si="0"/>
        <v>2.8763329458391346E-3</v>
      </c>
    </row>
    <row r="2475" spans="1:3" ht="13" x14ac:dyDescent="0.15">
      <c r="A2475" s="3">
        <f ca="1">IFERROR(__xludf.DUMMYFUNCTION("""COMPUTED_VALUE"""),44029.6666666666)</f>
        <v>44029.666666666599</v>
      </c>
      <c r="B2475" s="4">
        <f ca="1">IFERROR(__xludf.DUMMYFUNCTION("""COMPUTED_VALUE"""),1515.55)</f>
        <v>1515.55</v>
      </c>
      <c r="C2475" s="5">
        <f t="shared" ca="1" si="0"/>
        <v>-1.6152695902097499E-3</v>
      </c>
    </row>
    <row r="2476" spans="1:3" ht="13" x14ac:dyDescent="0.15">
      <c r="A2476" s="3">
        <f ca="1">IFERROR(__xludf.DUMMYFUNCTION("""COMPUTED_VALUE"""),44032.6666666666)</f>
        <v>44032.666666666599</v>
      </c>
      <c r="B2476" s="4">
        <f ca="1">IFERROR(__xludf.DUMMYFUNCTION("""COMPUTED_VALUE"""),1565.72)</f>
        <v>1565.72</v>
      </c>
      <c r="C2476" s="5">
        <f t="shared" ca="1" si="0"/>
        <v>3.2567372709704397E-2</v>
      </c>
    </row>
    <row r="2477" spans="1:3" ht="13" x14ac:dyDescent="0.15">
      <c r="A2477" s="3">
        <f ca="1">IFERROR(__xludf.DUMMYFUNCTION("""COMPUTED_VALUE"""),44033.6666666666)</f>
        <v>44033.666666666599</v>
      </c>
      <c r="B2477" s="4">
        <f ca="1">IFERROR(__xludf.DUMMYFUNCTION("""COMPUTED_VALUE"""),1558.42)</f>
        <v>1558.42</v>
      </c>
      <c r="C2477" s="5">
        <f t="shared" ca="1" si="0"/>
        <v>-4.6732945935853577E-3</v>
      </c>
    </row>
    <row r="2478" spans="1:3" ht="13" x14ac:dyDescent="0.15">
      <c r="A2478" s="3">
        <f ca="1">IFERROR(__xludf.DUMMYFUNCTION("""COMPUTED_VALUE"""),44034.6666666666)</f>
        <v>44034.666666666599</v>
      </c>
      <c r="B2478" s="4">
        <f ca="1">IFERROR(__xludf.DUMMYFUNCTION("""COMPUTED_VALUE"""),1568.49)</f>
        <v>1568.49</v>
      </c>
      <c r="C2478" s="5">
        <f t="shared" ca="1" si="0"/>
        <v>6.4408856109138277E-3</v>
      </c>
    </row>
    <row r="2479" spans="1:3" ht="13" x14ac:dyDescent="0.15">
      <c r="A2479" s="3">
        <f ca="1">IFERROR(__xludf.DUMMYFUNCTION("""COMPUTED_VALUE"""),44035.6666666666)</f>
        <v>44035.666666666599</v>
      </c>
      <c r="B2479" s="4">
        <f ca="1">IFERROR(__xludf.DUMMYFUNCTION("""COMPUTED_VALUE"""),1515.68)</f>
        <v>1515.68</v>
      </c>
      <c r="C2479" s="5">
        <f t="shared" ca="1" si="0"/>
        <v>-3.4249189965173947E-2</v>
      </c>
    </row>
    <row r="2480" spans="1:3" ht="13" x14ac:dyDescent="0.15">
      <c r="A2480" s="3">
        <f ca="1">IFERROR(__xludf.DUMMYFUNCTION("""COMPUTED_VALUE"""),44036.6666666666)</f>
        <v>44036.666666666599</v>
      </c>
      <c r="B2480" s="4">
        <f ca="1">IFERROR(__xludf.DUMMYFUNCTION("""COMPUTED_VALUE"""),1511.87)</f>
        <v>1511.87</v>
      </c>
      <c r="C2480" s="5">
        <f t="shared" ca="1" si="0"/>
        <v>-2.5168879201169937E-3</v>
      </c>
    </row>
    <row r="2481" spans="1:3" ht="13" x14ac:dyDescent="0.15">
      <c r="A2481" s="3">
        <f ca="1">IFERROR(__xludf.DUMMYFUNCTION("""COMPUTED_VALUE"""),44039.6666666666)</f>
        <v>44039.666666666599</v>
      </c>
      <c r="B2481" s="4">
        <f ca="1">IFERROR(__xludf.DUMMYFUNCTION("""COMPUTED_VALUE"""),1530.2)</f>
        <v>1530.2</v>
      </c>
      <c r="C2481" s="5">
        <f t="shared" ca="1" si="0"/>
        <v>1.2051150590644143E-2</v>
      </c>
    </row>
    <row r="2482" spans="1:3" ht="13" x14ac:dyDescent="0.15">
      <c r="A2482" s="3">
        <f ca="1">IFERROR(__xludf.DUMMYFUNCTION("""COMPUTED_VALUE"""),44040.6666666666)</f>
        <v>44040.666666666599</v>
      </c>
      <c r="B2482" s="4">
        <f ca="1">IFERROR(__xludf.DUMMYFUNCTION("""COMPUTED_VALUE"""),1500.34)</f>
        <v>1500.34</v>
      </c>
      <c r="C2482" s="5">
        <f t="shared" ca="1" si="0"/>
        <v>-1.9706696725791173E-2</v>
      </c>
    </row>
    <row r="2483" spans="1:3" ht="13" x14ac:dyDescent="0.15">
      <c r="A2483" s="3">
        <f ca="1">IFERROR(__xludf.DUMMYFUNCTION("""COMPUTED_VALUE"""),44041.6666666666)</f>
        <v>44041.666666666599</v>
      </c>
      <c r="B2483" s="4">
        <f ca="1">IFERROR(__xludf.DUMMYFUNCTION("""COMPUTED_VALUE"""),1522.02)</f>
        <v>1522.02</v>
      </c>
      <c r="C2483" s="5">
        <f t="shared" ca="1" si="0"/>
        <v>1.4346650867801503E-2</v>
      </c>
    </row>
    <row r="2484" spans="1:3" ht="13" x14ac:dyDescent="0.15">
      <c r="A2484" s="3">
        <f ca="1">IFERROR(__xludf.DUMMYFUNCTION("""COMPUTED_VALUE"""),44042.6666666666)</f>
        <v>44042.666666666599</v>
      </c>
      <c r="B2484" s="4">
        <f ca="1">IFERROR(__xludf.DUMMYFUNCTION("""COMPUTED_VALUE"""),1531.45)</f>
        <v>1531.45</v>
      </c>
      <c r="C2484" s="5">
        <f t="shared" ca="1" si="0"/>
        <v>6.1765990691364688E-3</v>
      </c>
    </row>
    <row r="2485" spans="1:3" ht="13" x14ac:dyDescent="0.15">
      <c r="A2485" s="3">
        <f ca="1">IFERROR(__xludf.DUMMYFUNCTION("""COMPUTED_VALUE"""),44043.6666666666)</f>
        <v>44043.666666666599</v>
      </c>
      <c r="B2485" s="4">
        <f ca="1">IFERROR(__xludf.DUMMYFUNCTION("""COMPUTED_VALUE"""),1482.96)</f>
        <v>1482.96</v>
      </c>
      <c r="C2485" s="5">
        <f t="shared" ca="1" si="0"/>
        <v>-3.2174908588064675E-2</v>
      </c>
    </row>
    <row r="2486" spans="1:3" ht="13" x14ac:dyDescent="0.15">
      <c r="A2486" s="3">
        <f ca="1">IFERROR(__xludf.DUMMYFUNCTION("""COMPUTED_VALUE"""),44046.6666666666)</f>
        <v>44046.666666666599</v>
      </c>
      <c r="B2486" s="4">
        <f ca="1">IFERROR(__xludf.DUMMYFUNCTION("""COMPUTED_VALUE"""),1474.45)</f>
        <v>1474.45</v>
      </c>
      <c r="C2486" s="5">
        <f t="shared" ca="1" si="0"/>
        <v>-5.7550515403853256E-3</v>
      </c>
    </row>
    <row r="2487" spans="1:3" ht="13" x14ac:dyDescent="0.15">
      <c r="A2487" s="3">
        <f ca="1">IFERROR(__xludf.DUMMYFUNCTION("""COMPUTED_VALUE"""),44047.6666666666)</f>
        <v>44047.666666666599</v>
      </c>
      <c r="B2487" s="4">
        <f ca="1">IFERROR(__xludf.DUMMYFUNCTION("""COMPUTED_VALUE"""),1464.97)</f>
        <v>1464.97</v>
      </c>
      <c r="C2487" s="5">
        <f t="shared" ca="1" si="0"/>
        <v>-6.45027445465381E-3</v>
      </c>
    </row>
    <row r="2488" spans="1:3" ht="13" x14ac:dyDescent="0.15">
      <c r="A2488" s="3">
        <f ca="1">IFERROR(__xludf.DUMMYFUNCTION("""COMPUTED_VALUE"""),44048.6666666666)</f>
        <v>44048.666666666599</v>
      </c>
      <c r="B2488" s="4">
        <f ca="1">IFERROR(__xludf.DUMMYFUNCTION("""COMPUTED_VALUE"""),1473.61)</f>
        <v>1473.61</v>
      </c>
      <c r="C2488" s="5">
        <f t="shared" ca="1" si="0"/>
        <v>5.880408154284999E-3</v>
      </c>
    </row>
    <row r="2489" spans="1:3" ht="13" x14ac:dyDescent="0.15">
      <c r="A2489" s="3">
        <f ca="1">IFERROR(__xludf.DUMMYFUNCTION("""COMPUTED_VALUE"""),44049.6666666666)</f>
        <v>44049.666666666599</v>
      </c>
      <c r="B2489" s="4">
        <f ca="1">IFERROR(__xludf.DUMMYFUNCTION("""COMPUTED_VALUE"""),1500.1)</f>
        <v>1500.1</v>
      </c>
      <c r="C2489" s="5">
        <f t="shared" ca="1" si="0"/>
        <v>1.7816599954764849E-2</v>
      </c>
    </row>
    <row r="2490" spans="1:3" ht="13" x14ac:dyDescent="0.15">
      <c r="A2490" s="3">
        <f ca="1">IFERROR(__xludf.DUMMYFUNCTION("""COMPUTED_VALUE"""),44050.6666666666)</f>
        <v>44050.666666666599</v>
      </c>
      <c r="B2490" s="4">
        <f ca="1">IFERROR(__xludf.DUMMYFUNCTION("""COMPUTED_VALUE"""),1494.49)</f>
        <v>1494.49</v>
      </c>
      <c r="C2490" s="5">
        <f t="shared" ca="1" si="0"/>
        <v>-3.7467610343087767E-3</v>
      </c>
    </row>
    <row r="2491" spans="1:3" ht="13" x14ac:dyDescent="0.15">
      <c r="A2491" s="3">
        <f ca="1">IFERROR(__xludf.DUMMYFUNCTION("""COMPUTED_VALUE"""),44053.6666666666)</f>
        <v>44053.666666666599</v>
      </c>
      <c r="B2491" s="4">
        <f ca="1">IFERROR(__xludf.DUMMYFUNCTION("""COMPUTED_VALUE"""),1496.1)</f>
        <v>1496.1</v>
      </c>
      <c r="C2491" s="5">
        <f t="shared" ca="1" si="0"/>
        <v>1.0767107196508025E-3</v>
      </c>
    </row>
    <row r="2492" spans="1:3" ht="13" x14ac:dyDescent="0.15">
      <c r="A2492" s="3">
        <f ca="1">IFERROR(__xludf.DUMMYFUNCTION("""COMPUTED_VALUE"""),44054.6666666666)</f>
        <v>44054.666666666599</v>
      </c>
      <c r="B2492" s="4">
        <f ca="1">IFERROR(__xludf.DUMMYFUNCTION("""COMPUTED_VALUE"""),1480.32)</f>
        <v>1480.32</v>
      </c>
      <c r="C2492" s="5">
        <f t="shared" ca="1" si="0"/>
        <v>-1.0603441617166819E-2</v>
      </c>
    </row>
    <row r="2493" spans="1:3" ht="13" x14ac:dyDescent="0.15">
      <c r="A2493" s="3">
        <f ca="1">IFERROR(__xludf.DUMMYFUNCTION("""COMPUTED_VALUE"""),44055.6666666666)</f>
        <v>44055.666666666599</v>
      </c>
      <c r="B2493" s="4">
        <f ca="1">IFERROR(__xludf.DUMMYFUNCTION("""COMPUTED_VALUE"""),1506.62)</f>
        <v>1506.62</v>
      </c>
      <c r="C2493" s="5">
        <f t="shared" ca="1" si="0"/>
        <v>1.7610450624132874E-2</v>
      </c>
    </row>
    <row r="2494" spans="1:3" ht="13" x14ac:dyDescent="0.15">
      <c r="A2494" s="3">
        <f ca="1">IFERROR(__xludf.DUMMYFUNCTION("""COMPUTED_VALUE"""),44056.6666666666)</f>
        <v>44056.666666666599</v>
      </c>
      <c r="B2494" s="4">
        <f ca="1">IFERROR(__xludf.DUMMYFUNCTION("""COMPUTED_VALUE"""),1518.45)</f>
        <v>1518.45</v>
      </c>
      <c r="C2494" s="5">
        <f t="shared" ca="1" si="0"/>
        <v>7.8213464857179015E-3</v>
      </c>
    </row>
    <row r="2495" spans="1:3" ht="13" x14ac:dyDescent="0.15">
      <c r="A2495" s="3">
        <f ca="1">IFERROR(__xludf.DUMMYFUNCTION("""COMPUTED_VALUE"""),44057.6666666666)</f>
        <v>44057.666666666599</v>
      </c>
      <c r="B2495" s="4">
        <f ca="1">IFERROR(__xludf.DUMMYFUNCTION("""COMPUTED_VALUE"""),1507.73)</f>
        <v>1507.73</v>
      </c>
      <c r="C2495" s="5">
        <f t="shared" ca="1" si="0"/>
        <v>-7.0848692682933508E-3</v>
      </c>
    </row>
    <row r="2496" spans="1:3" ht="13" x14ac:dyDescent="0.15">
      <c r="A2496" s="3">
        <f ca="1">IFERROR(__xludf.DUMMYFUNCTION("""COMPUTED_VALUE"""),44060.6666666666)</f>
        <v>44060.666666666599</v>
      </c>
      <c r="B2496" s="4">
        <f ca="1">IFERROR(__xludf.DUMMYFUNCTION("""COMPUTED_VALUE"""),1517.98)</f>
        <v>1517.98</v>
      </c>
      <c r="C2496" s="5">
        <f t="shared" ca="1" si="0"/>
        <v>6.7752951936375016E-3</v>
      </c>
    </row>
    <row r="2497" spans="1:3" ht="13" x14ac:dyDescent="0.15">
      <c r="A2497" s="3">
        <f ca="1">IFERROR(__xludf.DUMMYFUNCTION("""COMPUTED_VALUE"""),44061.6666666666)</f>
        <v>44061.666666666599</v>
      </c>
      <c r="B2497" s="4">
        <f ca="1">IFERROR(__xludf.DUMMYFUNCTION("""COMPUTED_VALUE"""),1558.6)</f>
        <v>1558.6</v>
      </c>
      <c r="C2497" s="5">
        <f t="shared" ca="1" si="0"/>
        <v>2.6407478771245836E-2</v>
      </c>
    </row>
    <row r="2498" spans="1:3" ht="13" x14ac:dyDescent="0.15">
      <c r="A2498" s="3">
        <f ca="1">IFERROR(__xludf.DUMMYFUNCTION("""COMPUTED_VALUE"""),44062.6666666666)</f>
        <v>44062.666666666599</v>
      </c>
      <c r="B2498" s="4">
        <f ca="1">IFERROR(__xludf.DUMMYFUNCTION("""COMPUTED_VALUE"""),1547.53)</f>
        <v>1547.53</v>
      </c>
      <c r="C2498" s="5">
        <f t="shared" ca="1" si="0"/>
        <v>-7.1278709319939071E-3</v>
      </c>
    </row>
    <row r="2499" spans="1:3" ht="13" x14ac:dyDescent="0.15">
      <c r="A2499" s="3">
        <f ca="1">IFERROR(__xludf.DUMMYFUNCTION("""COMPUTED_VALUE"""),44063.6666666666)</f>
        <v>44063.666666666599</v>
      </c>
      <c r="B2499" s="4">
        <f ca="1">IFERROR(__xludf.DUMMYFUNCTION("""COMPUTED_VALUE"""),1581.75)</f>
        <v>1581.75</v>
      </c>
      <c r="C2499" s="5">
        <f t="shared" ca="1" si="0"/>
        <v>2.1871717549526985E-2</v>
      </c>
    </row>
    <row r="2500" spans="1:3" ht="13" x14ac:dyDescent="0.15">
      <c r="A2500" s="3">
        <f ca="1">IFERROR(__xludf.DUMMYFUNCTION("""COMPUTED_VALUE"""),44064.6666666666)</f>
        <v>44064.666666666599</v>
      </c>
      <c r="B2500" s="4">
        <f ca="1">IFERROR(__xludf.DUMMYFUNCTION("""COMPUTED_VALUE"""),1580.42)</f>
        <v>1580.42</v>
      </c>
      <c r="C2500" s="5">
        <f t="shared" ca="1" si="0"/>
        <v>-8.4119454578755065E-4</v>
      </c>
    </row>
    <row r="2501" spans="1:3" ht="13" x14ac:dyDescent="0.15">
      <c r="A2501" s="3">
        <f ca="1">IFERROR(__xludf.DUMMYFUNCTION("""COMPUTED_VALUE"""),44067.6666666666)</f>
        <v>44067.666666666599</v>
      </c>
      <c r="B2501" s="4">
        <f ca="1">IFERROR(__xludf.DUMMYFUNCTION("""COMPUTED_VALUE"""),1588.2)</f>
        <v>1588.2</v>
      </c>
      <c r="C2501" s="5">
        <f t="shared" ca="1" si="0"/>
        <v>4.9106649799045814E-3</v>
      </c>
    </row>
    <row r="2502" spans="1:3" ht="13" x14ac:dyDescent="0.15">
      <c r="A2502" s="3">
        <f ca="1">IFERROR(__xludf.DUMMYFUNCTION("""COMPUTED_VALUE"""),44068.6666666666)</f>
        <v>44068.666666666599</v>
      </c>
      <c r="B2502" s="4">
        <f ca="1">IFERROR(__xludf.DUMMYFUNCTION("""COMPUTED_VALUE"""),1608.22)</f>
        <v>1608.22</v>
      </c>
      <c r="C2502" s="5">
        <f t="shared" ca="1" si="0"/>
        <v>1.2526677839754733E-2</v>
      </c>
    </row>
    <row r="2503" spans="1:3" ht="13" x14ac:dyDescent="0.15">
      <c r="A2503" s="3">
        <f ca="1">IFERROR(__xludf.DUMMYFUNCTION("""COMPUTED_VALUE"""),44069.6666666666)</f>
        <v>44069.666666666599</v>
      </c>
      <c r="B2503" s="4">
        <f ca="1">IFERROR(__xludf.DUMMYFUNCTION("""COMPUTED_VALUE"""),1652.38)</f>
        <v>1652.38</v>
      </c>
      <c r="C2503" s="5">
        <f t="shared" ca="1" si="0"/>
        <v>2.7088695541620213E-2</v>
      </c>
    </row>
    <row r="2504" spans="1:3" ht="13" x14ac:dyDescent="0.15">
      <c r="A2504" s="3">
        <f ca="1">IFERROR(__xludf.DUMMYFUNCTION("""COMPUTED_VALUE"""),44070.6666666666)</f>
        <v>44070.666666666599</v>
      </c>
      <c r="B2504" s="4">
        <f ca="1">IFERROR(__xludf.DUMMYFUNCTION("""COMPUTED_VALUE"""),1634.33)</f>
        <v>1634.33</v>
      </c>
      <c r="C2504" s="5">
        <f t="shared" ca="1" si="0"/>
        <v>-1.098373842905353E-2</v>
      </c>
    </row>
    <row r="2505" spans="1:3" ht="13" x14ac:dyDescent="0.15">
      <c r="A2505" s="3">
        <f ca="1">IFERROR(__xludf.DUMMYFUNCTION("""COMPUTED_VALUE"""),44071.6666666666)</f>
        <v>44071.666666666599</v>
      </c>
      <c r="B2505" s="4">
        <f ca="1">IFERROR(__xludf.DUMMYFUNCTION("""COMPUTED_VALUE"""),1644.41)</f>
        <v>1644.41</v>
      </c>
      <c r="C2505" s="5">
        <f t="shared" ca="1" si="0"/>
        <v>6.1487228372399377E-3</v>
      </c>
    </row>
    <row r="2506" spans="1:3" ht="13" x14ac:dyDescent="0.15">
      <c r="A2506" s="3">
        <f ca="1">IFERROR(__xludf.DUMMYFUNCTION("""COMPUTED_VALUE"""),44074.6666666666)</f>
        <v>44074.666666666599</v>
      </c>
      <c r="B2506" s="4">
        <f ca="1">IFERROR(__xludf.DUMMYFUNCTION("""COMPUTED_VALUE"""),1634.18)</f>
        <v>1634.18</v>
      </c>
      <c r="C2506" s="5">
        <f t="shared" ca="1" si="0"/>
        <v>-6.2405077790666412E-3</v>
      </c>
    </row>
    <row r="2507" spans="1:3" ht="13" x14ac:dyDescent="0.15">
      <c r="A2507" s="3">
        <f ca="1">IFERROR(__xludf.DUMMYFUNCTION("""COMPUTED_VALUE"""),44075.6666666666)</f>
        <v>44075.666666666599</v>
      </c>
      <c r="B2507" s="4">
        <f ca="1">IFERROR(__xludf.DUMMYFUNCTION("""COMPUTED_VALUE"""),1660.71)</f>
        <v>1660.71</v>
      </c>
      <c r="C2507" s="5">
        <f t="shared" ca="1" si="0"/>
        <v>1.610407228014751E-2</v>
      </c>
    </row>
    <row r="2508" spans="1:3" ht="13" x14ac:dyDescent="0.15">
      <c r="A2508" s="3">
        <f ca="1">IFERROR(__xludf.DUMMYFUNCTION("""COMPUTED_VALUE"""),44076.6666666666)</f>
        <v>44076.666666666599</v>
      </c>
      <c r="B2508" s="4">
        <f ca="1">IFERROR(__xludf.DUMMYFUNCTION("""COMPUTED_VALUE"""),1728.28)</f>
        <v>1728.28</v>
      </c>
      <c r="C2508" s="5">
        <f t="shared" ca="1" si="0"/>
        <v>3.9881472522702556E-2</v>
      </c>
    </row>
    <row r="2509" spans="1:3" ht="13" x14ac:dyDescent="0.15">
      <c r="A2509" s="3">
        <f ca="1">IFERROR(__xludf.DUMMYFUNCTION("""COMPUTED_VALUE"""),44077.6666666666)</f>
        <v>44077.666666666599</v>
      </c>
      <c r="B2509" s="4">
        <f ca="1">IFERROR(__xludf.DUMMYFUNCTION("""COMPUTED_VALUE"""),1641.84)</f>
        <v>1641.84</v>
      </c>
      <c r="C2509" s="5">
        <f t="shared" ca="1" si="0"/>
        <v>-5.1309130153603076E-2</v>
      </c>
    </row>
    <row r="2510" spans="1:3" ht="13" x14ac:dyDescent="0.15">
      <c r="A2510" s="3">
        <f ca="1">IFERROR(__xludf.DUMMYFUNCTION("""COMPUTED_VALUE"""),44078.6666666666)</f>
        <v>44078.666666666599</v>
      </c>
      <c r="B2510" s="4">
        <f ca="1">IFERROR(__xludf.DUMMYFUNCTION("""COMPUTED_VALUE"""),1591.04)</f>
        <v>1591.04</v>
      </c>
      <c r="C2510" s="5">
        <f t="shared" ca="1" si="0"/>
        <v>-3.1429673678615322E-2</v>
      </c>
    </row>
    <row r="2511" spans="1:3" ht="13" x14ac:dyDescent="0.15">
      <c r="A2511" s="3">
        <f ca="1">IFERROR(__xludf.DUMMYFUNCTION("""COMPUTED_VALUE"""),44082.6666666666)</f>
        <v>44082.666666666599</v>
      </c>
      <c r="B2511" s="4">
        <f ca="1">IFERROR(__xludf.DUMMYFUNCTION("""COMPUTED_VALUE"""),1532.39)</f>
        <v>1532.39</v>
      </c>
      <c r="C2511" s="5">
        <f t="shared" ca="1" si="0"/>
        <v>-3.755928234833799E-2</v>
      </c>
    </row>
    <row r="2512" spans="1:3" ht="13" x14ac:dyDescent="0.15">
      <c r="A2512" s="3">
        <f ca="1">IFERROR(__xludf.DUMMYFUNCTION("""COMPUTED_VALUE"""),44083.6666666666)</f>
        <v>44083.666666666599</v>
      </c>
      <c r="B2512" s="4">
        <f ca="1">IFERROR(__xludf.DUMMYFUNCTION("""COMPUTED_VALUE"""),1556.96)</f>
        <v>1556.96</v>
      </c>
      <c r="C2512" s="5">
        <f t="shared" ca="1" si="0"/>
        <v>1.5906593979780052E-2</v>
      </c>
    </row>
    <row r="2513" spans="1:3" ht="13" x14ac:dyDescent="0.15">
      <c r="A2513" s="3">
        <f ca="1">IFERROR(__xludf.DUMMYFUNCTION("""COMPUTED_VALUE"""),44084.6666666666)</f>
        <v>44084.666666666599</v>
      </c>
      <c r="B2513" s="4">
        <f ca="1">IFERROR(__xludf.DUMMYFUNCTION("""COMPUTED_VALUE"""),1532.02)</f>
        <v>1532.02</v>
      </c>
      <c r="C2513" s="5">
        <f t="shared" ca="1" si="0"/>
        <v>-1.6148076028068656E-2</v>
      </c>
    </row>
    <row r="2514" spans="1:3" ht="13" x14ac:dyDescent="0.15">
      <c r="A2514" s="3">
        <f ca="1">IFERROR(__xludf.DUMMYFUNCTION("""COMPUTED_VALUE"""),44085.6666666666)</f>
        <v>44085.666666666599</v>
      </c>
      <c r="B2514" s="4">
        <f ca="1">IFERROR(__xludf.DUMMYFUNCTION("""COMPUTED_VALUE"""),1520.72)</f>
        <v>1520.72</v>
      </c>
      <c r="C2514" s="5">
        <f t="shared" ca="1" si="0"/>
        <v>-7.403219147712135E-3</v>
      </c>
    </row>
    <row r="2515" spans="1:3" ht="13" x14ac:dyDescent="0.15">
      <c r="A2515" s="3">
        <f ca="1">IFERROR(__xludf.DUMMYFUNCTION("""COMPUTED_VALUE"""),44088.6666666666)</f>
        <v>44088.666666666599</v>
      </c>
      <c r="B2515" s="4">
        <f ca="1">IFERROR(__xludf.DUMMYFUNCTION("""COMPUTED_VALUE"""),1519.28)</f>
        <v>1519.28</v>
      </c>
      <c r="C2515" s="5">
        <f t="shared" ca="1" si="0"/>
        <v>-9.473684919084315E-4</v>
      </c>
    </row>
  </sheetData>
  <conditionalFormatting sqref="C3:C2515">
    <cfRule type="cellIs" dxfId="1" priority="1" operator="greaterThanOrEqual">
      <formula>0</formula>
    </cfRule>
  </conditionalFormatting>
  <conditionalFormatting sqref="C3:C2515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Kent Rammen</cp:lastModifiedBy>
  <dcterms:created xsi:type="dcterms:W3CDTF">2020-09-15T13:27:13Z</dcterms:created>
  <dcterms:modified xsi:type="dcterms:W3CDTF">2020-09-22T07:13:28Z</dcterms:modified>
</cp:coreProperties>
</file>